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36" yWindow="750" windowWidth="11355" windowHeight="8445" tabRatio="959" firstSheet="1" activeTab="8"/>
  </bookViews>
  <sheets>
    <sheet name="dep linnoteB10" sheetId="1" state="hidden" r:id="rId1"/>
    <sheet name="BS" sheetId="2" r:id="rId2"/>
    <sheet name="P &amp; L" sheetId="3" r:id="rId3"/>
    <sheet name="Cash-flow" sheetId="4" r:id="rId4"/>
    <sheet name="Note B1" sheetId="5" r:id="rId5"/>
    <sheet name="Note B2 to B6" sheetId="6" r:id="rId6"/>
    <sheet name="Note B7" sheetId="7" r:id="rId7"/>
    <sheet name="Note B8 to B12" sheetId="8" r:id="rId8"/>
    <sheet name="Notes to P&amp;L" sheetId="9" r:id="rId9"/>
    <sheet name="Sheet3" sheetId="10" state="hidden" r:id="rId10"/>
    <sheet name="BA-Abstract" sheetId="11" r:id="rId11"/>
  </sheets>
  <externalReferences>
    <externalReference r:id="rId14"/>
    <externalReference r:id="rId15"/>
  </externalReferences>
  <definedNames>
    <definedName name="Excel_BuiltIn_Print_Area_12">#REF!</definedName>
    <definedName name="_xlnm.Print_Area" localSheetId="6">'Note B7'!$B$1:$N$22</definedName>
    <definedName name="_xlnm.Print_Area" localSheetId="8">'Notes to P&amp;L'!$B$1:$G$86</definedName>
    <definedName name="_xlnm.Print_Area" localSheetId="2">'P &amp; L'!$B$2:$H$43</definedName>
    <definedName name="_xlnm.Print_Titles" localSheetId="8">'Notes to P&amp;L'!$2:$5</definedName>
  </definedNames>
  <calcPr fullCalcOnLoad="1"/>
</workbook>
</file>

<file path=xl/comments11.xml><?xml version="1.0" encoding="utf-8"?>
<comments xmlns="http://schemas.openxmlformats.org/spreadsheetml/2006/main">
  <authors>
    <author>a</author>
  </authors>
  <commentList>
    <comment ref="J23" authorId="0">
      <text>
        <r>
          <rPr>
            <b/>
            <sz val="8"/>
            <rFont val="Tahoma"/>
            <family val="2"/>
          </rPr>
          <t>earlier included non current loans and adv too here.</t>
        </r>
      </text>
    </comment>
    <comment ref="G23" authorId="0">
      <text>
        <r>
          <rPr>
            <b/>
            <sz val="8"/>
            <rFont val="Tahoma"/>
            <family val="2"/>
          </rPr>
          <t>incl long term loan and adv (non current).</t>
        </r>
      </text>
    </comment>
  </commentList>
</comments>
</file>

<file path=xl/comments2.xml><?xml version="1.0" encoding="utf-8"?>
<comments xmlns="http://schemas.openxmlformats.org/spreadsheetml/2006/main">
  <authors>
    <author>CA Ramesh</author>
  </authors>
  <commentList>
    <comment ref="B13" authorId="0">
      <text>
        <r>
          <rPr>
            <sz val="9"/>
            <rFont val="Tahoma"/>
            <family val="2"/>
          </rPr>
          <t xml:space="preserve">
refer Current Liabilities Comment</t>
        </r>
      </text>
    </comment>
    <comment ref="B16" authorId="0">
      <text>
        <r>
          <rPr>
            <sz val="9"/>
            <rFont val="Tahoma"/>
            <family val="2"/>
          </rPr>
          <t xml:space="preserve">
A liability shall be classified as current when it satisfies any of the following criteria (if not satisfied one of them then it is a Non Current Liability)
a. it is expected to be settled in the company’s normal </t>
        </r>
        <r>
          <rPr>
            <b/>
            <sz val="9"/>
            <rFont val="Tahoma"/>
            <family val="2"/>
          </rPr>
          <t>operating cycle</t>
        </r>
        <r>
          <rPr>
            <sz val="9"/>
            <rFont val="Tahoma"/>
            <family val="2"/>
          </rPr>
          <t>;(? OC)
b. it is held primarily for the purpose of being traded;
c. it is due to be settled within twelve months after the reporting date; or 
d. the company does not have an unconditional right to defer settlement of the liability for at least twelve months after the reporting date. Terms of a liability that could, at the option of the counterparty, result in its settlement by the issue of equity instruments do not affect its classification.
Ex.If Loan is repayable after 12 months and if the company is expected to exercise option available to it to pre-pay – classified as Current</t>
        </r>
      </text>
    </comment>
    <comment ref="B17" authorId="0">
      <text>
        <r>
          <rPr>
            <b/>
            <sz val="9"/>
            <rFont val="Tahoma"/>
            <family val="2"/>
          </rPr>
          <t>CA Ramesh:</t>
        </r>
        <r>
          <rPr>
            <sz val="9"/>
            <rFont val="Tahoma"/>
            <family val="2"/>
          </rPr>
          <t xml:space="preserve">
Sundry creditors for Materials and services
</t>
        </r>
      </text>
    </comment>
    <comment ref="B21" authorId="0">
      <text>
        <r>
          <rPr>
            <b/>
            <sz val="9"/>
            <rFont val="Tahoma"/>
            <family val="2"/>
          </rPr>
          <t>CA Ramesh:</t>
        </r>
        <r>
          <rPr>
            <sz val="9"/>
            <rFont val="Tahoma"/>
            <family val="2"/>
          </rPr>
          <t xml:space="preserve">
If, in the opinion of the Board, any of the assets other than fixed assets and non-current investments do not have a value on realization in the ordinary course of business at least equal to the amount at which they are stated, the fact that the Board is of that opinion, shall be stated</t>
        </r>
      </text>
    </comment>
    <comment ref="B22" authorId="0">
      <text>
        <r>
          <rPr>
            <sz val="9"/>
            <rFont val="Tahoma"/>
            <family val="2"/>
          </rPr>
          <t xml:space="preserve">
Refer Current Asset Comment</t>
        </r>
      </text>
    </comment>
    <comment ref="B28" authorId="0">
      <text>
        <r>
          <rPr>
            <sz val="9"/>
            <rFont val="Tahoma"/>
            <family val="2"/>
          </rPr>
          <t xml:space="preserve">
Current Asset- if the Asset satisfies the following all conditions  (other wise assets shall be classified as non-current)
a. it is expected to be realized in, or is intended for sale or consumption in, the company’s normal operating cycle;
b. it is held primarily for the purpose of being traded;
c. it is expected to be realized within twelve months after the reporting date; or
d. it is cash or cash equivalent unless it is restricted from being exchanged or used to settle a liability for at least twelve months after the reporting date.
</t>
        </r>
      </text>
    </comment>
  </commentList>
</comments>
</file>

<file path=xl/comments3.xml><?xml version="1.0" encoding="utf-8"?>
<comments xmlns="http://schemas.openxmlformats.org/spreadsheetml/2006/main">
  <authors>
    <author>CA Ramesh</author>
  </authors>
  <commentList>
    <comment ref="C11" authorId="0">
      <text>
        <r>
          <rPr>
            <sz val="9"/>
            <rFont val="Tahoma"/>
            <family val="2"/>
          </rPr>
          <t xml:space="preserve">
Any item of income or expenditure which exceeds one per cent of the revenue from operations or Rs.1,00,000, whichever is higher shall disclosed separate line of item in the expenditure </t>
        </r>
      </text>
    </comment>
    <comment ref="C9" authorId="0">
      <text>
        <r>
          <rPr>
            <sz val="9"/>
            <rFont val="Tahoma"/>
            <family val="2"/>
          </rPr>
          <t xml:space="preserve">
Any item of income which exceeds one per cent of the revenue from operations or Rs.1,00,000, whichever is higher shall disclosed separate line of item in the income head</t>
        </r>
      </text>
    </comment>
    <comment ref="C8" authorId="0">
      <text>
        <r>
          <rPr>
            <b/>
            <sz val="9"/>
            <rFont val="Tahoma"/>
            <family val="2"/>
          </rPr>
          <t xml:space="preserve">
{whether revenue of the company should be presented as net of indirect taxes ?} </t>
        </r>
        <r>
          <rPr>
            <sz val="9"/>
            <rFont val="Tahoma"/>
            <family val="2"/>
          </rPr>
          <t xml:space="preserve">
If the company is acting as a principal and hence responsible for paying tax on its own account-revenue should also be grossed up for the tax billed to the customer and the tax payable should be shown as an expense or ,if it is acting as an agent i.e. simply collecting and paying tax on behalf of government authorities, then revenue should be presented net of taxes</t>
        </r>
      </text>
    </comment>
    <comment ref="B6" authorId="0">
      <text>
        <r>
          <rPr>
            <sz val="9"/>
            <rFont val="Tahoma"/>
            <family val="2"/>
          </rPr>
          <t xml:space="preserve">
Broad heads shall be decided taking into account the concept of materiality and presentation of true and fair view of financial statements</t>
        </r>
      </text>
    </comment>
  </commentList>
</comments>
</file>

<file path=xl/comments5.xml><?xml version="1.0" encoding="utf-8"?>
<comments xmlns="http://schemas.openxmlformats.org/spreadsheetml/2006/main">
  <authors>
    <author>CA Ramesh</author>
  </authors>
  <commentList>
    <comment ref="B5" authorId="0">
      <text>
        <r>
          <rPr>
            <b/>
            <sz val="9"/>
            <rFont val="Tahoma"/>
            <family val="2"/>
          </rPr>
          <t>CA Ramesh:</t>
        </r>
        <r>
          <rPr>
            <sz val="9"/>
            <rFont val="Tahoma"/>
            <family val="2"/>
          </rPr>
          <t xml:space="preserve">
(e) The rights, preferences and restrictions attaching to each class of shares including restrictions on the distribution of dividends and there payment of capital;
(f) Shares in respect of each class in the company held by its holding company or its ultimate holding company including shares held by or by subsidiaries or associates of the holding company or the ultimate holding company in aggregate; 
(g) Shares in the company held by each shareholder holding more than 5 percent shares specifying the number of shares held; 
(h) Shares reserved for issue under options and contracts/commitments for the sale of shares/disinvestment, including the terms and amounts; 
(i) For the period of five years immediately preceding the date as at which the Balance Sheet is prepared: 
 Aggregate number and class of shares allotted as fully paid up pursuant to contract(s) without payment being received in cash. 
 Aggregate number and class of shares allotted as fully paid up by way of bonus shares.
 Aggregate number and class of shares bought back.
(j) Terms of any securities convertible into equity/preference shares issued along with the earliest date of conversion in descending order starting from the farthest such date.
(k) Calls unpaid (showing aggregate value of calls unpaid by directors and officers)
(l) Forfeited shares (amount originally paid up)
</t>
        </r>
      </text>
    </comment>
    <comment ref="B8" authorId="0">
      <text>
        <r>
          <rPr>
            <b/>
            <sz val="9"/>
            <rFont val="Tahoma"/>
            <family val="2"/>
          </rPr>
          <t>CA Ramesh:</t>
        </r>
        <r>
          <rPr>
            <sz val="9"/>
            <rFont val="Tahoma"/>
            <family val="2"/>
          </rPr>
          <t xml:space="preserve">
1.For each class of share capital treated separately
2.different classes of equity/preference shares to be treated separately
3.The rights, preferences and restrictions attaching to each class of shares including restrictions on the distribution of dividends and there payment of capital disclosed separately
4.</t>
        </r>
      </text>
    </comment>
    <comment ref="B9" authorId="0">
      <text>
        <r>
          <rPr>
            <b/>
            <sz val="9"/>
            <rFont val="Tahoma"/>
            <family val="2"/>
          </rPr>
          <t>CA Ramesh:</t>
        </r>
        <r>
          <rPr>
            <sz val="9"/>
            <rFont val="Tahoma"/>
            <family val="2"/>
          </rPr>
          <t xml:space="preserve">
The number and amount of shares authorized; and par Value per share</t>
        </r>
      </text>
    </comment>
    <comment ref="B13" authorId="0">
      <text>
        <r>
          <rPr>
            <b/>
            <sz val="9"/>
            <rFont val="Tahoma"/>
            <family val="2"/>
          </rPr>
          <t>CA Ramesh:</t>
        </r>
        <r>
          <rPr>
            <sz val="9"/>
            <rFont val="Tahoma"/>
            <family val="2"/>
          </rPr>
          <t xml:space="preserve">
The number of shares issued, subscribed and fully paid, and subscribed but not fully paid 
and par Value per share</t>
        </r>
      </text>
    </comment>
  </commentList>
</comments>
</file>

<file path=xl/comments6.xml><?xml version="1.0" encoding="utf-8"?>
<comments xmlns="http://schemas.openxmlformats.org/spreadsheetml/2006/main">
  <authors>
    <author>CA Ramesh</author>
    <author>SVR</author>
  </authors>
  <commentList>
    <comment ref="B8" authorId="0">
      <text>
        <r>
          <rPr>
            <sz val="9"/>
            <rFont val="Tahoma"/>
            <family val="2"/>
          </rPr>
          <t xml:space="preserve">
1. A reserve specifically represented by earmarked investments shall be termed as a ‘fund’
2. The balance of ‘Reserves and Surplus’, after adjusting negative balance of surplus(P&amp;L), if any, shall be shown under the head ‘Reserves and Surplus’ even if the resulting figure is in the negative. </t>
        </r>
      </text>
    </comment>
    <comment ref="B12" authorId="0">
      <text>
        <r>
          <rPr>
            <sz val="9"/>
            <rFont val="Tahoma"/>
            <family val="2"/>
          </rPr>
          <t xml:space="preserve">
1. Surplus is a balance in Statement of Profit &amp; Loss 
2. Debit balance of statement of profit and loss shall be shown as a negative figure under the head ‘Surplus’.</t>
        </r>
      </text>
    </comment>
    <comment ref="B22" authorId="0">
      <text>
        <r>
          <rPr>
            <b/>
            <sz val="9"/>
            <rFont val="Tahoma"/>
            <family val="2"/>
          </rPr>
          <t>CA Ramesh:</t>
        </r>
        <r>
          <rPr>
            <sz val="9"/>
            <rFont val="Tahoma"/>
            <family val="2"/>
          </rPr>
          <t xml:space="preserve">
v. Period and amount of continuing default as on the balance sheet date in repayment of loans and interest shall be specified separately in each caseIn case of continuing default as on the balance sheet date in repayment of loans and interest  with respect to (b) (e) &amp; (g) then period and amount of default shall disclosed separately
i. Where loans have been guaranteed by directors or others, the aggregate amount of such loans under each head shall be disclosed.
</t>
        </r>
      </text>
    </comment>
    <comment ref="B23" authorId="0">
      <text>
        <r>
          <rPr>
            <b/>
            <sz val="9"/>
            <rFont val="Tahoma"/>
            <family val="2"/>
          </rPr>
          <t>CA Ramesh:</t>
        </r>
        <r>
          <rPr>
            <sz val="9"/>
            <rFont val="Tahoma"/>
            <family val="2"/>
          </rPr>
          <t xml:space="preserve">
In case of continuing default as on the balance sheet date in repayment of loans and interest  with respect to (b) (e) &amp; (g) then period and amount of default shall disclosed separately</t>
        </r>
      </text>
    </comment>
    <comment ref="B29" authorId="0">
      <text>
        <r>
          <rPr>
            <sz val="9"/>
            <rFont val="Tahoma"/>
            <family val="2"/>
          </rPr>
          <t xml:space="preserve">
it is in respect of the amount due on account of goods purchased or services received in the normal course of business.</t>
        </r>
      </text>
    </comment>
    <comment ref="B39" authorId="1">
      <text>
        <r>
          <rPr>
            <sz val="8"/>
            <rFont val="Tahoma"/>
            <family val="2"/>
          </rPr>
          <t xml:space="preserve">
statutory dues, security deposit and advance from customers.</t>
        </r>
      </text>
    </comment>
    <comment ref="B44" authorId="1">
      <text>
        <r>
          <rPr>
            <sz val="8"/>
            <rFont val="Tahoma"/>
            <family val="2"/>
          </rPr>
          <t xml:space="preserve">repayable with in 12 months from the date of Balance Sheet
</t>
        </r>
      </text>
    </comment>
  </commentList>
</comments>
</file>

<file path=xl/comments8.xml><?xml version="1.0" encoding="utf-8"?>
<comments xmlns="http://schemas.openxmlformats.org/spreadsheetml/2006/main">
  <authors>
    <author>CA Ramesh</author>
    <author>SVR</author>
  </authors>
  <commentList>
    <comment ref="B5" authorId="0">
      <text>
        <r>
          <rPr>
            <b/>
            <sz val="9"/>
            <rFont val="Tahoma"/>
            <family val="2"/>
          </rPr>
          <t>CA Ramesh:</t>
        </r>
        <r>
          <rPr>
            <sz val="9"/>
            <rFont val="Tahoma"/>
            <family val="2"/>
          </rPr>
          <t xml:space="preserve">
1.Investments carried at other than at cost should be separately stated  specifying the basis for valuation thereof.
2. The following shall also be disclosed:
(a)Aggregate amount of quoted investments and market value thereof;
(b)Aggregate amount of unquoted investments;
(c)Aggregate provision for diminution in value of investments
</t>
        </r>
      </text>
    </comment>
    <comment ref="B18" authorId="0">
      <text>
        <r>
          <rPr>
            <sz val="9"/>
            <rFont val="Tahoma"/>
            <family val="2"/>
          </rPr>
          <t xml:space="preserve">
Goods-in-transit shall be disclosed under the relevant sub-head of inventories.
Mode of valuation shall be stated under relevent sub-head of invetories</t>
        </r>
      </text>
    </comment>
    <comment ref="B21" authorId="0">
      <text>
        <r>
          <rPr>
            <b/>
            <sz val="9"/>
            <rFont val="Tahoma"/>
            <family val="2"/>
          </rPr>
          <t>CA Ramesh:</t>
        </r>
        <r>
          <rPr>
            <sz val="9"/>
            <rFont val="Tahoma"/>
            <family val="2"/>
          </rPr>
          <t xml:space="preserve">
In the case of all concerns having works-in-progress details of work in progress under each broad head shall be provided</t>
        </r>
      </text>
    </comment>
    <comment ref="B27" authorId="0">
      <text>
        <r>
          <rPr>
            <sz val="9"/>
            <rFont val="Tahoma"/>
            <family val="2"/>
          </rPr>
          <t xml:space="preserve">
it is in respect of the amount due on account of goods sold or services rendered in the normal course of business.</t>
        </r>
      </text>
    </comment>
    <comment ref="B35" authorId="1">
      <text>
        <r>
          <rPr>
            <sz val="8"/>
            <rFont val="Tahoma"/>
            <family val="2"/>
          </rPr>
          <t>Cash Equivalents are defined as short term, highly liquid investments that are readily  convertible into known amounts of cash and which are subject to an insignificant risk of changes in value.
Where AS 3 (Cash Flow Statement) applies 
“Cash and cash equivalents” 
may be classified in two Sub-heads  
 “Cash and cash equivalents”  (should include only the items that constitute cas and cash   equivalents i.a.w. AS 3 ;
and “Other bank balances.” ( line-items may be included under as per Revised Sch VI)</t>
        </r>
      </text>
    </comment>
    <comment ref="B37" authorId="0">
      <text>
        <r>
          <rPr>
            <sz val="9"/>
            <rFont val="Tahoma"/>
            <family val="2"/>
          </rPr>
          <t xml:space="preserve">
1.Earmarked balances with banks (for example, for unpaid dividend) shall be separately stated
2.Repatriation restrictions, if any, in respect of cash and bank balances shall be separately stated.
3.Balances with banks to the extent held as margin money or security against the borrowings, guarantees, other commitments shall be disclosed separately.</t>
        </r>
      </text>
    </comment>
    <comment ref="B42" authorId="0">
      <text>
        <r>
          <rPr>
            <b/>
            <sz val="9"/>
            <rFont val="Tahoma"/>
            <family val="2"/>
          </rPr>
          <t>CA Ramesh:</t>
        </r>
        <r>
          <rPr>
            <sz val="9"/>
            <rFont val="Tahoma"/>
            <family val="2"/>
          </rPr>
          <t xml:space="preserve">
Details Should be given
</t>
        </r>
      </text>
    </comment>
  </commentList>
</comments>
</file>

<file path=xl/comments9.xml><?xml version="1.0" encoding="utf-8"?>
<comments xmlns="http://schemas.openxmlformats.org/spreadsheetml/2006/main">
  <authors>
    <author>CA Ramesh</author>
    <author>a</author>
    <author>MADHUSUDAN</author>
  </authors>
  <commentList>
    <comment ref="B55" authorId="0">
      <text>
        <r>
          <rPr>
            <b/>
            <sz val="9"/>
            <rFont val="Tahoma"/>
            <family val="2"/>
          </rPr>
          <t>CA Ramesh:</t>
        </r>
        <r>
          <rPr>
            <sz val="9"/>
            <rFont val="Tahoma"/>
            <family val="2"/>
          </rPr>
          <t xml:space="preserve">
AS 15
</t>
        </r>
      </text>
    </comment>
    <comment ref="B21" authorId="0">
      <text>
        <r>
          <rPr>
            <sz val="9"/>
            <rFont val="Tahoma"/>
            <family val="2"/>
          </rPr>
          <t xml:space="preserve">
net of expenses directly attributable to such income</t>
        </r>
      </text>
    </comment>
    <comment ref="B20" authorId="0">
      <text>
        <r>
          <rPr>
            <sz val="9"/>
            <rFont val="Tahoma"/>
            <family val="2"/>
          </rPr>
          <t xml:space="preserve">
in case of a company other than a finance company</t>
        </r>
      </text>
    </comment>
    <comment ref="B18" authorId="0">
      <text>
        <r>
          <rPr>
            <sz val="9"/>
            <rFont val="Tahoma"/>
            <family val="2"/>
          </rPr>
          <t xml:space="preserve">
Revenue under each of the above heads shall be disclosed separately by way of notes to accounts to the extent applicable
Any item of income which exceeds one per cent of the revenue from operations or Rs.1,00,000, whichever is higher shall disclosed separate line of item in the income head</t>
        </r>
      </text>
    </comment>
    <comment ref="B8" authorId="0">
      <text>
        <r>
          <rPr>
            <sz val="9"/>
            <rFont val="Tahoma"/>
            <family val="2"/>
          </rPr>
          <t xml:space="preserve">
In respect of a finance company, revenue from operations shall include revenue from 
(a) Interest; and
(b) Other financial services
incase of companies rendering or supplying services
     - gross income derived form services rendered or supplied under broad heads shall be disclosed separately.
In the case of other companies, gross income derived under broad heads.
Any item of income or expenditure which exceeds one per cent of the revenue from operations or Rs.1,00,000, whichever is higher; shall disclosed separate line of item in the income head</t>
        </r>
      </text>
    </comment>
    <comment ref="B25" authorId="0">
      <text>
        <r>
          <rPr>
            <b/>
            <sz val="9"/>
            <rFont val="Tahoma"/>
            <family val="2"/>
          </rPr>
          <t>CA Ramesh:</t>
        </r>
        <r>
          <rPr>
            <sz val="9"/>
            <rFont val="Tahoma"/>
            <family val="2"/>
          </rPr>
          <t xml:space="preserve">
Details shall be given each head of account wise
</t>
        </r>
      </text>
    </comment>
    <comment ref="D28" authorId="1">
      <text>
        <r>
          <rPr>
            <b/>
            <sz val="8"/>
            <rFont val="Tahoma"/>
            <family val="2"/>
          </rPr>
          <t>removed vat input</t>
        </r>
      </text>
    </comment>
    <comment ref="D21" authorId="1">
      <text>
        <r>
          <rPr>
            <b/>
            <sz val="8"/>
            <rFont val="Tahoma"/>
            <family val="2"/>
          </rPr>
          <t>removed vat input</t>
        </r>
      </text>
    </comment>
    <comment ref="C83" authorId="2">
      <text>
        <r>
          <rPr>
            <b/>
            <sz val="9"/>
            <rFont val="Tahoma"/>
            <family val="2"/>
          </rPr>
          <t>effected the changes in share capital on 31.03.2013</t>
        </r>
      </text>
    </comment>
  </commentList>
</comments>
</file>

<file path=xl/sharedStrings.xml><?xml version="1.0" encoding="utf-8"?>
<sst xmlns="http://schemas.openxmlformats.org/spreadsheetml/2006/main" count="809" uniqueCount="578">
  <si>
    <t xml:space="preserve">R A V I L E E L A   G R A N I T E S   L T D </t>
  </si>
  <si>
    <t>BALANCE SHEET ABSTRACT AND COMPANY'S eENERAL BUSINESS PROFILE</t>
  </si>
  <si>
    <t>(Statement persuant to part of IV of Schedule VI to the Companies Act 1956 )</t>
  </si>
  <si>
    <t>Amount in Rs.Thousands</t>
  </si>
  <si>
    <t>REeISTRATION DETAILS</t>
  </si>
  <si>
    <t>Reeistration No.</t>
  </si>
  <si>
    <t>01-11909</t>
  </si>
  <si>
    <t xml:space="preserve">State Code </t>
  </si>
  <si>
    <t>01</t>
  </si>
  <si>
    <t>Balance Sheet Date</t>
  </si>
  <si>
    <t>CAPITAL RAISED DURINe THE YEAR</t>
  </si>
  <si>
    <t>Public Issue</t>
  </si>
  <si>
    <t>N I L</t>
  </si>
  <si>
    <t>Riehts Issue</t>
  </si>
  <si>
    <t>Bonus Issue</t>
  </si>
  <si>
    <t>Private placement</t>
  </si>
  <si>
    <t>Share application money</t>
  </si>
  <si>
    <t>POSITION OF MOBILISATION AND DEPLOYMENT OF FUNDS</t>
  </si>
  <si>
    <t>TOTAL LIABILITIES</t>
  </si>
  <si>
    <t>TOTAL ASSETS</t>
  </si>
  <si>
    <t>SOUCES OF FUNDS</t>
  </si>
  <si>
    <t>APPLICATION OF FUNDS</t>
  </si>
  <si>
    <t>Paid up Capital</t>
  </si>
  <si>
    <t>Net Fixed Assets</t>
  </si>
  <si>
    <t>NIL</t>
  </si>
  <si>
    <t>Investments</t>
  </si>
  <si>
    <t>Reserves &amp; Surplus</t>
  </si>
  <si>
    <t>Secured Loans</t>
  </si>
  <si>
    <t>Deferred Tax Asset</t>
  </si>
  <si>
    <t>Unsecured Loans</t>
  </si>
  <si>
    <t>Miscellaneous Expenditure</t>
  </si>
  <si>
    <t>Profit &amp; Loss A/c</t>
  </si>
  <si>
    <t xml:space="preserve">    Current Liabilities</t>
  </si>
  <si>
    <t>PERFORMANCE OF COMPANY</t>
  </si>
  <si>
    <t>TOTAL TURNOVER</t>
  </si>
  <si>
    <t>TOTAL EXPENDITURE</t>
  </si>
  <si>
    <t xml:space="preserve">Profit / (loss) before tax     </t>
  </si>
  <si>
    <t>Profit / (loss) after tax</t>
  </si>
  <si>
    <t>Earnine per Share in Rs.</t>
  </si>
  <si>
    <t xml:space="preserve">  - Basic</t>
  </si>
  <si>
    <t>Dividend Rate</t>
  </si>
  <si>
    <t>N A</t>
  </si>
  <si>
    <t xml:space="preserve">  - Diluted</t>
  </si>
  <si>
    <t>eeneric Norms of Three Principal Products / Services of Company (as per Monetary Terms)</t>
  </si>
  <si>
    <t>PRODUCT</t>
  </si>
  <si>
    <t>ITEM CODE NO</t>
  </si>
  <si>
    <t>PRODUCT DESCRIPTION</t>
  </si>
  <si>
    <t>POLISHED GRANITES</t>
  </si>
  <si>
    <t>SLABS</t>
  </si>
  <si>
    <t>MONUMENT MARKERS</t>
  </si>
  <si>
    <t>for S.V.RAO ASSOCIATES,</t>
  </si>
  <si>
    <t>For and On Behalf of the Board</t>
  </si>
  <si>
    <t>Firm Registration No: 003152S.</t>
  </si>
  <si>
    <t xml:space="preserve">         (M. Mohan Reddy)                    (P.Srinivas Reddy)</t>
  </si>
  <si>
    <t>(S.V.S Prasad</t>
  </si>
  <si>
    <t xml:space="preserve">                Director                                            Director</t>
  </si>
  <si>
    <t>PARTNER</t>
  </si>
  <si>
    <t>Place : Hyderabad</t>
  </si>
  <si>
    <t>31-03-2013</t>
  </si>
  <si>
    <t>Current Assets</t>
  </si>
  <si>
    <t>DGSet</t>
  </si>
  <si>
    <t>grouped into P &amp; M</t>
  </si>
  <si>
    <t>Transformer</t>
  </si>
  <si>
    <t>Material Handling Equip.</t>
  </si>
  <si>
    <t>Mini Trucks</t>
  </si>
  <si>
    <t>grouped in to vehicles</t>
  </si>
  <si>
    <t>Cycle</t>
  </si>
  <si>
    <t>R&amp;d Kiln</t>
  </si>
  <si>
    <t>R&amp;D Equipment</t>
  </si>
  <si>
    <t>Calculation of Depreciation of 2011-12</t>
  </si>
  <si>
    <t>closing Date</t>
  </si>
  <si>
    <t>Rate</t>
  </si>
  <si>
    <t>Value</t>
  </si>
  <si>
    <t>Install.date</t>
  </si>
  <si>
    <t>No.of days</t>
  </si>
  <si>
    <t>&lt; 180 days</t>
  </si>
  <si>
    <t>&gt; 180 days</t>
  </si>
  <si>
    <t>2.Factory Building</t>
  </si>
  <si>
    <t>Additions :</t>
  </si>
  <si>
    <t>April</t>
  </si>
  <si>
    <t>May</t>
  </si>
  <si>
    <t>June</t>
  </si>
  <si>
    <t>July</t>
  </si>
  <si>
    <t>August</t>
  </si>
  <si>
    <t>Sep</t>
  </si>
  <si>
    <t>Oct</t>
  </si>
  <si>
    <t>Nov</t>
  </si>
  <si>
    <t>Dec</t>
  </si>
  <si>
    <t>Jan</t>
  </si>
  <si>
    <t>Feb</t>
  </si>
  <si>
    <t>March</t>
  </si>
  <si>
    <t>Acc. Dep on Open</t>
  </si>
  <si>
    <t>Dep. Dur/ the year</t>
  </si>
  <si>
    <t>3.Office Building</t>
  </si>
  <si>
    <t>Apr</t>
  </si>
  <si>
    <t>Additional information</t>
  </si>
  <si>
    <t>P &amp; M</t>
  </si>
  <si>
    <t>4.Plant &amp; Machinery</t>
  </si>
  <si>
    <t>slide gate</t>
  </si>
  <si>
    <t>Slide Gate Project</t>
  </si>
  <si>
    <t>Zirconia Plant</t>
  </si>
  <si>
    <t>june</t>
  </si>
  <si>
    <t>Aug</t>
  </si>
  <si>
    <t>Oct.</t>
  </si>
  <si>
    <t>Mar</t>
  </si>
  <si>
    <t>5.Moulds (Group - P &amp; M)</t>
  </si>
  <si>
    <t>September</t>
  </si>
  <si>
    <t>October</t>
  </si>
  <si>
    <t>November</t>
  </si>
  <si>
    <t>December</t>
  </si>
  <si>
    <t>January</t>
  </si>
  <si>
    <t>February</t>
  </si>
  <si>
    <t>6.Producer Gas Plant (Gr-P&amp;M)</t>
  </si>
  <si>
    <t>7 &amp; 8&amp; 9  Other Plant &amp;Mach. (Gr-P&amp;M)</t>
  </si>
  <si>
    <t>DG SET</t>
  </si>
  <si>
    <t>TRANSFORMER</t>
  </si>
  <si>
    <t>MAY</t>
  </si>
  <si>
    <t>GRAND TOTAL (p&amp;m +Mou+Produ .gas plant +otheP&amp;M)</t>
  </si>
  <si>
    <t xml:space="preserve">10.Furniture &amp; Fixtures </t>
  </si>
  <si>
    <t>upto 1994-95</t>
  </si>
  <si>
    <t>from 1995</t>
  </si>
  <si>
    <t>Additons</t>
  </si>
  <si>
    <t>Furniture</t>
  </si>
  <si>
    <t xml:space="preserve">11.Office Equipments </t>
  </si>
  <si>
    <t>Office Equipments</t>
  </si>
  <si>
    <t>additons</t>
  </si>
  <si>
    <t>12.vehicles :</t>
  </si>
  <si>
    <t>Scooter</t>
  </si>
  <si>
    <t>Vehicle - Ambassador</t>
  </si>
  <si>
    <t>Maruthi Zen</t>
  </si>
  <si>
    <t>Kinetic Honda</t>
  </si>
  <si>
    <t>Toyota</t>
  </si>
  <si>
    <t>Active Honda</t>
  </si>
  <si>
    <t>Skoda</t>
  </si>
  <si>
    <t>sold</t>
  </si>
  <si>
    <t>15.12.2011</t>
  </si>
  <si>
    <t>Indica</t>
  </si>
  <si>
    <t>Tata Indica</t>
  </si>
  <si>
    <t>Tata Indigo</t>
  </si>
  <si>
    <t>CD Delux Mortor</t>
  </si>
  <si>
    <t>Passion Plus</t>
  </si>
  <si>
    <t>Car -Swift</t>
  </si>
  <si>
    <t>CASH FLOW STATEMENT</t>
  </si>
  <si>
    <t>CASH FLOW FROM OPERATING ACTIVITIES</t>
  </si>
  <si>
    <t>Net Profit/(loss) before tax and extraordinary items</t>
  </si>
  <si>
    <t>Adjustments for :</t>
  </si>
  <si>
    <t>Exception Items</t>
  </si>
  <si>
    <t>OPERATING PROFIT BEFORE W/C CHANGES</t>
  </si>
  <si>
    <t>(Increase)/Decrease Trade and other Receivables</t>
  </si>
  <si>
    <t>(Increase)/Decrease Inventories</t>
  </si>
  <si>
    <t>(Decrease)/Increase Trade Payables &amp; Other payables</t>
  </si>
  <si>
    <t>Cash generated from Operations</t>
  </si>
  <si>
    <t>CASH FLOW FROM INVESTING ACTIVITIES</t>
  </si>
  <si>
    <t>Investment on Fixed Assets</t>
  </si>
  <si>
    <t xml:space="preserve">Sale of Fixed Assets </t>
  </si>
  <si>
    <t>NET CASH USED IN INVESTING ACTIVITIES</t>
  </si>
  <si>
    <t>C</t>
  </si>
  <si>
    <t>CASH FLOW FROM FINANCING ACTIVITIES</t>
  </si>
  <si>
    <t>Proceeds from issue of Share Capital</t>
  </si>
  <si>
    <t>Proceeds from Long Term Borrowings</t>
  </si>
  <si>
    <t>NET CASH USED IN FINANCING ACTIVITIES</t>
  </si>
  <si>
    <t>NET INCREASE IN CASH AND CASH EQUIVALENT</t>
  </si>
  <si>
    <t>M MOHAN REDDY                   P.SRINIVASA REDDY</t>
  </si>
  <si>
    <t>DIRECTOR                                                 DIRECTOR</t>
  </si>
  <si>
    <t>AUDITOR'S CERTIFICATE</t>
  </si>
  <si>
    <t>For S V RAO ASSOCIATES</t>
  </si>
  <si>
    <t>PLACE  : HYDERABAD</t>
  </si>
  <si>
    <t>S V S Prasad</t>
  </si>
  <si>
    <t>Mem No.207540.</t>
  </si>
  <si>
    <t>For Services</t>
  </si>
  <si>
    <t>As at                                   31-Mar-2013</t>
  </si>
  <si>
    <t xml:space="preserve">    (e)Repairs and Maintenance- Plant &amp; Machinery</t>
  </si>
  <si>
    <t>(d) Foreign exchange Gain/(Loss)</t>
  </si>
  <si>
    <t xml:space="preserve">Contribution to provident and other funds </t>
  </si>
  <si>
    <t>Staff welfare expenses</t>
  </si>
  <si>
    <t xml:space="preserve">Details of Shares in the company held by each shareholder holding more than 5 percent shares </t>
  </si>
  <si>
    <t xml:space="preserve"> Equity Shares of  Rs.10/- each</t>
  </si>
  <si>
    <t>Number</t>
  </si>
  <si>
    <t>Amount</t>
  </si>
  <si>
    <t>NAME OF SHAREHOLDER</t>
  </si>
  <si>
    <t>No. of 
Shares held</t>
  </si>
  <si>
    <t>Equity Shares outstanding at the beginning of the year</t>
  </si>
  <si>
    <t>Percentage</t>
  </si>
  <si>
    <t>2010-11</t>
  </si>
  <si>
    <t>2009-10</t>
  </si>
  <si>
    <t>2008-09</t>
  </si>
  <si>
    <t>2007-08</t>
  </si>
  <si>
    <t>MPR REFRACTORIES LIMITED</t>
  </si>
  <si>
    <t>DEPRECIATION SCHEDULE AS PER COMPANIES ACT 1956.</t>
  </si>
  <si>
    <t>SCHEDULE - 5</t>
  </si>
  <si>
    <t>FOR THE FINANCIAL YEAR 2011-12</t>
  </si>
  <si>
    <t>SL.NO</t>
  </si>
  <si>
    <t>NAME OF THE ASSETS</t>
  </si>
  <si>
    <t>GROSS BLOCK</t>
  </si>
  <si>
    <t>NET BLOCK</t>
  </si>
  <si>
    <t xml:space="preserve"> AS ON 01.04.11</t>
  </si>
  <si>
    <t>Additions during the year</t>
  </si>
  <si>
    <t>Adjustment</t>
  </si>
  <si>
    <t>Total 31.03.12</t>
  </si>
  <si>
    <t>Total 31.03.11</t>
  </si>
  <si>
    <t>For the year</t>
  </si>
  <si>
    <t>Total up to 31.03.12</t>
  </si>
  <si>
    <t>As On 31.03.12</t>
  </si>
  <si>
    <t>As on 31.03.11</t>
  </si>
  <si>
    <t>Building - Factory</t>
  </si>
  <si>
    <t>acc dep adj</t>
  </si>
  <si>
    <t>R &amp; D Kiln (slidegate)</t>
  </si>
  <si>
    <t>R &amp; D equipment (slidegate)</t>
  </si>
  <si>
    <t>Kiln &amp; Chemney</t>
  </si>
  <si>
    <t>Capital WIP (Factory -Building)</t>
  </si>
  <si>
    <t>GRAND TOTAL</t>
  </si>
  <si>
    <t>Previous Year's figures</t>
  </si>
  <si>
    <t>Rates</t>
  </si>
  <si>
    <t>As on 01.04.11</t>
  </si>
  <si>
    <t>Acc.Dep</t>
  </si>
  <si>
    <t>Additions</t>
  </si>
  <si>
    <t>Addl.Depn</t>
  </si>
  <si>
    <t>Total Depn</t>
  </si>
  <si>
    <t>Plant &amp; Machinery group[</t>
  </si>
  <si>
    <t>Producer Gas Plant</t>
  </si>
  <si>
    <t xml:space="preserve">   Director                                 Director</t>
  </si>
  <si>
    <t>Consultancy Charges</t>
  </si>
  <si>
    <t xml:space="preserve"> For the period ending
31-12-2012</t>
  </si>
  <si>
    <t>(a)  Due to Directors</t>
  </si>
  <si>
    <t>(b)  Advance from Customers</t>
  </si>
  <si>
    <t>(c)  Creditors for Capital Expenditure</t>
  </si>
  <si>
    <t>(d) Others</t>
  </si>
  <si>
    <t>e. Packing Material</t>
  </si>
  <si>
    <t>3 Months ended from Jan-13 to Mar-13</t>
  </si>
  <si>
    <t>STATEMENT OF PROFIT AND LOSS ACCOUNT FOR THE YEAR ENDED 31ST MARCH, 2013</t>
  </si>
  <si>
    <t>As on 31-Dec-2012</t>
  </si>
  <si>
    <t>3 Monts from Jan-13-Mar-13</t>
  </si>
  <si>
    <t>As at 31-Mar-2013</t>
  </si>
  <si>
    <t>Hundai Varna</t>
  </si>
  <si>
    <t>13.03.2012</t>
  </si>
  <si>
    <t>TATA INDICA-VISTA</t>
  </si>
  <si>
    <t>TATA ACE EX BS II -DIESEL</t>
  </si>
  <si>
    <t>30/9/2010</t>
  </si>
  <si>
    <t>16.03.2012</t>
  </si>
  <si>
    <t>Vehicle Additions :</t>
  </si>
  <si>
    <t>VOKS WAGON</t>
  </si>
  <si>
    <t xml:space="preserve">CD Delux </t>
  </si>
  <si>
    <t>13.Mini Trucks</t>
  </si>
  <si>
    <t>Eicher - Truck</t>
  </si>
  <si>
    <t>14.Vehicle - Cycle</t>
  </si>
  <si>
    <t>15.Computers</t>
  </si>
  <si>
    <t>2002-03</t>
  </si>
  <si>
    <t>2003-04</t>
  </si>
  <si>
    <t>2004-05</t>
  </si>
  <si>
    <t>2006-07</t>
  </si>
  <si>
    <t>oct</t>
  </si>
  <si>
    <t>16.Flameless Furnace</t>
  </si>
  <si>
    <t xml:space="preserve">17. R &amp; D Klin </t>
  </si>
  <si>
    <t xml:space="preserve">18. R &amp; D Equipment </t>
  </si>
  <si>
    <t>Testing Equipment</t>
  </si>
  <si>
    <t>Lab Equipment</t>
  </si>
  <si>
    <t>R &amp; D Equipments</t>
  </si>
  <si>
    <t>19. Klin Chimney</t>
  </si>
  <si>
    <t>20.other Assets</t>
  </si>
  <si>
    <t>Open. Balances</t>
  </si>
  <si>
    <t>Air Cooler</t>
  </si>
  <si>
    <t>Refrigerator</t>
  </si>
  <si>
    <t>Generator - Office</t>
  </si>
  <si>
    <t>Air Conditioner</t>
  </si>
  <si>
    <t>cap wip</t>
  </si>
  <si>
    <t>total add.itpurp</t>
  </si>
  <si>
    <t>Total Opening Bal</t>
  </si>
  <si>
    <t>Total Acc. Dep</t>
  </si>
  <si>
    <t>Total Additions</t>
  </si>
  <si>
    <t>Total additDep .du.yr</t>
  </si>
  <si>
    <t>additions</t>
  </si>
  <si>
    <t>total dep</t>
  </si>
  <si>
    <t>wip</t>
  </si>
  <si>
    <t>total additions</t>
  </si>
  <si>
    <t>NOTE -B1</t>
  </si>
  <si>
    <t>NOTE -B2</t>
  </si>
  <si>
    <t>NOTE -B3</t>
  </si>
  <si>
    <t>NOTE -B5</t>
  </si>
  <si>
    <t>NOTE -B6</t>
  </si>
  <si>
    <t>Note No</t>
  </si>
  <si>
    <t>I. EQUITY AND LIABILITIES</t>
  </si>
  <si>
    <t>(a) Share Capital</t>
  </si>
  <si>
    <t>(b) Reserves and Surplus</t>
  </si>
  <si>
    <t>(1) Shareholder's Funds</t>
  </si>
  <si>
    <t>(a) Long-term borrowings</t>
  </si>
  <si>
    <t>Total</t>
  </si>
  <si>
    <t>(1) Non-current assets</t>
  </si>
  <si>
    <t>(a) Fixed assets</t>
  </si>
  <si>
    <t>(2) Current assets</t>
  </si>
  <si>
    <t>Cost of materials consumed</t>
  </si>
  <si>
    <t>Depreciation and amortization expense</t>
  </si>
  <si>
    <t>Other expenses</t>
  </si>
  <si>
    <t xml:space="preserve">       (1) Basic</t>
  </si>
  <si>
    <t xml:space="preserve">       (2) Diluted</t>
  </si>
  <si>
    <t>PARTICULARS</t>
  </si>
  <si>
    <t>Amount in Rs.</t>
  </si>
  <si>
    <t>Notes to accounts</t>
  </si>
  <si>
    <t>For S.V.RAO ASSOCIATES</t>
  </si>
  <si>
    <t>For and on behalf of the board</t>
  </si>
  <si>
    <t>Partner</t>
  </si>
  <si>
    <t>Place: Hyderabad</t>
  </si>
  <si>
    <t>FRN 003152S</t>
  </si>
  <si>
    <t>SHARE CAPITAL</t>
  </si>
  <si>
    <t>Chartered Accountants</t>
  </si>
  <si>
    <t>I</t>
  </si>
  <si>
    <t>II</t>
  </si>
  <si>
    <t>III</t>
  </si>
  <si>
    <t>Revenue from operations</t>
  </si>
  <si>
    <t>Other Income</t>
  </si>
  <si>
    <t>IV</t>
  </si>
  <si>
    <t>Expenses:</t>
  </si>
  <si>
    <t>V</t>
  </si>
  <si>
    <t>VI</t>
  </si>
  <si>
    <t>VII</t>
  </si>
  <si>
    <t>VIII</t>
  </si>
  <si>
    <t>IX</t>
  </si>
  <si>
    <t>X</t>
  </si>
  <si>
    <t>Earning per equity share:</t>
  </si>
  <si>
    <t>Opening Balance</t>
  </si>
  <si>
    <t>Closing Balance</t>
  </si>
  <si>
    <t>Opening balance</t>
  </si>
  <si>
    <t>(+) Net Profit/(Net Loss) For the current year</t>
  </si>
  <si>
    <t>Authorised</t>
  </si>
  <si>
    <t>NOTES TO THE BALANCE SHEET</t>
  </si>
  <si>
    <t>II.ASSETS</t>
  </si>
  <si>
    <t>Fixed Assets</t>
  </si>
  <si>
    <t>Gross Block</t>
  </si>
  <si>
    <t>Accumulated Depreciation</t>
  </si>
  <si>
    <t>Net Block</t>
  </si>
  <si>
    <t>Depreciation charge for the year</t>
  </si>
  <si>
    <t>Tangible Assets</t>
  </si>
  <si>
    <t>Land</t>
  </si>
  <si>
    <t>Vehicles</t>
  </si>
  <si>
    <t>S.No</t>
  </si>
  <si>
    <t>Dep Rate</t>
  </si>
  <si>
    <t>RESERVES AND SURPLUS</t>
  </si>
  <si>
    <t>LONG-TERM BORROWINGS</t>
  </si>
  <si>
    <t xml:space="preserve">Unsecured </t>
  </si>
  <si>
    <t>TRADE PAYABLES</t>
  </si>
  <si>
    <t>OTHER CURRENT LIABILITIES</t>
  </si>
  <si>
    <t>SHORT-TERM PROVISIONS</t>
  </si>
  <si>
    <t>LONG TERM LOANS AND ADVANCES</t>
  </si>
  <si>
    <t>INVENTORIES</t>
  </si>
  <si>
    <t>TRADE RECEIVABLES</t>
  </si>
  <si>
    <t>CASH AND CASH EQUIVALENTS</t>
  </si>
  <si>
    <t>SHORT-TERM LOANS AND ADVANCES</t>
  </si>
  <si>
    <t>Particulars</t>
  </si>
  <si>
    <t>Employee benefit expenses</t>
  </si>
  <si>
    <t xml:space="preserve">Service Tax Input Credit </t>
  </si>
  <si>
    <t xml:space="preserve">        Others </t>
  </si>
  <si>
    <t>Purchases of Stock In Trade</t>
  </si>
  <si>
    <t>NOTE - P5</t>
  </si>
  <si>
    <t>NOTE -P7</t>
  </si>
  <si>
    <t xml:space="preserve">  NOTE -P8</t>
  </si>
  <si>
    <t>Purchase of Stock In Trade</t>
  </si>
  <si>
    <t>P 6</t>
  </si>
  <si>
    <t>P 7</t>
  </si>
  <si>
    <t xml:space="preserve">  (a) Scrap Sales</t>
  </si>
  <si>
    <t>(b) Interest Income</t>
  </si>
  <si>
    <t xml:space="preserve">(c) Other non-operating income </t>
  </si>
  <si>
    <t>Sale of Products</t>
  </si>
  <si>
    <t xml:space="preserve"> Excise Duty </t>
  </si>
  <si>
    <t>Adjustments</t>
  </si>
  <si>
    <t>Plant &amp; Machinery</t>
  </si>
  <si>
    <t>Office Equipment</t>
  </si>
  <si>
    <t>Computers</t>
  </si>
  <si>
    <t>Depreciation</t>
  </si>
  <si>
    <t>TOTAL</t>
  </si>
  <si>
    <t>NOTES TO THE STATEMENT OF PROFIT AND LOSS</t>
  </si>
  <si>
    <t>REVENUE FROM OPERATIONS</t>
  </si>
  <si>
    <t>OTHER INCOME</t>
  </si>
  <si>
    <t xml:space="preserve">Less: </t>
  </si>
  <si>
    <t>Issued, Subscribed &amp; Paid up</t>
  </si>
  <si>
    <t>EMPLOYEE BENEFITS EXPENSE</t>
  </si>
  <si>
    <t>B 8</t>
  </si>
  <si>
    <t>NOTE -B10</t>
  </si>
  <si>
    <t>Earnest Money Deposits</t>
  </si>
  <si>
    <t>Significant Accounting Policies  Notes on Financial Statements</t>
  </si>
  <si>
    <t>P 5</t>
  </si>
  <si>
    <t>P 3</t>
  </si>
  <si>
    <t>P 2</t>
  </si>
  <si>
    <t>P 1</t>
  </si>
  <si>
    <t>iii) Diluted Earnings per share</t>
  </si>
  <si>
    <t>iii) Basic Earnings per share</t>
  </si>
  <si>
    <t>i) Net Profit after tax as per Statement of Profit and Loss</t>
  </si>
  <si>
    <t>Stock-in-Process</t>
  </si>
  <si>
    <t>B. Inventories (at commencement)</t>
  </si>
  <si>
    <t>Less</t>
  </si>
  <si>
    <t>A. Inventories (at close)</t>
  </si>
  <si>
    <t>NOTE - P4</t>
  </si>
  <si>
    <t>NOTE -P3</t>
  </si>
  <si>
    <t>NOTE -P2</t>
  </si>
  <si>
    <t>NOTE -P1</t>
  </si>
  <si>
    <t>B 1</t>
  </si>
  <si>
    <t>B 2</t>
  </si>
  <si>
    <t>B 3</t>
  </si>
  <si>
    <t>B 4</t>
  </si>
  <si>
    <t>B 5</t>
  </si>
  <si>
    <t>B 6</t>
  </si>
  <si>
    <t>B 7</t>
  </si>
  <si>
    <t>B 10</t>
  </si>
  <si>
    <t>B 11</t>
  </si>
  <si>
    <t>B 12</t>
  </si>
  <si>
    <t>Deposit with Govt Authorities</t>
  </si>
  <si>
    <t>Other Deposits</t>
  </si>
  <si>
    <t>Debts outstanding for a period exceeding six months</t>
  </si>
  <si>
    <t>Other Debts</t>
  </si>
  <si>
    <t xml:space="preserve">For Goods </t>
  </si>
  <si>
    <t xml:space="preserve">b. Work-in-progress </t>
  </si>
  <si>
    <t xml:space="preserve">c. Finished goods </t>
  </si>
  <si>
    <t xml:space="preserve">d. Stores and spares </t>
  </si>
  <si>
    <t>NOTE -B11</t>
  </si>
  <si>
    <t>NOTE -B12</t>
  </si>
  <si>
    <t>P 4</t>
  </si>
  <si>
    <t xml:space="preserve">   OTHER EXPENSES :</t>
  </si>
  <si>
    <t>(S.V.S Prsad)</t>
  </si>
  <si>
    <t>M.No.207540</t>
  </si>
  <si>
    <t xml:space="preserve">a. Raw Materials </t>
  </si>
  <si>
    <t>B.Balances with banks in Current Accounts</t>
  </si>
  <si>
    <t xml:space="preserve">CHANGES IN INVENTORIES </t>
  </si>
  <si>
    <t xml:space="preserve">Finished Goods </t>
  </si>
  <si>
    <t xml:space="preserve">ii) Weighted Average number of equity shares </t>
  </si>
  <si>
    <t>iv) Face Value per equity share ( Rs 10/-)</t>
  </si>
  <si>
    <t xml:space="preserve">For S.V.RAO ASSOCIATES                                                   </t>
  </si>
  <si>
    <t xml:space="preserve">       Miscellneous Expenses</t>
  </si>
  <si>
    <t xml:space="preserve">       Vehicle Maintenance</t>
  </si>
  <si>
    <t>Tax expenses:</t>
  </si>
  <si>
    <t>Regd.Office &amp; Works : Plot No.140, B &amp; C, IDA BOLLARAM , MEDAK DIST. -502325.</t>
  </si>
  <si>
    <t>Building</t>
  </si>
  <si>
    <t>Quarries</t>
  </si>
  <si>
    <t>Pump Sets</t>
  </si>
  <si>
    <t>Furniture and Fixtures</t>
  </si>
  <si>
    <t>Plant and Machinery</t>
  </si>
  <si>
    <t xml:space="preserve">         Opening Stock</t>
  </si>
  <si>
    <t xml:space="preserve">         Purchases</t>
  </si>
  <si>
    <t xml:space="preserve">         Less: Discounts</t>
  </si>
  <si>
    <t xml:space="preserve">         Closing Stock</t>
  </si>
  <si>
    <t>Printing &amp; Stationery</t>
  </si>
  <si>
    <t>Postage &amp; Telephone</t>
  </si>
  <si>
    <t>Office Maintenance</t>
  </si>
  <si>
    <t>Provision for Bad Debts</t>
  </si>
  <si>
    <t>Listing Fee</t>
  </si>
  <si>
    <t>Advertisement</t>
  </si>
  <si>
    <t>Less : Deferred tax</t>
  </si>
  <si>
    <t xml:space="preserve">   (b) Deferred tax Asset (Net)</t>
  </si>
  <si>
    <t>b. Raw Material in transit</t>
  </si>
  <si>
    <t>Mr. P Srinivas Reddy</t>
  </si>
  <si>
    <t>RAVILEELA GRANITES LIMITED</t>
  </si>
  <si>
    <t>Mrs. P Samantha Reddy</t>
  </si>
  <si>
    <t>Less: Allowance for Bad and  Doubtful Debts</t>
  </si>
  <si>
    <t xml:space="preserve">  Advance to Suppliers</t>
  </si>
  <si>
    <t>Rebates &amp; Discounts</t>
  </si>
  <si>
    <t>(a) Trade payables</t>
  </si>
  <si>
    <t>(b) Other current liabilities</t>
  </si>
  <si>
    <t>(c) Short-term provisions</t>
  </si>
  <si>
    <t>(c) Long term loans and advances</t>
  </si>
  <si>
    <t xml:space="preserve">              from Others</t>
  </si>
  <si>
    <t xml:space="preserve">   i) Salaries, Wages &amp; Bonus</t>
  </si>
  <si>
    <t>As per our report of evendate</t>
  </si>
  <si>
    <t>As per our report of even date</t>
  </si>
  <si>
    <t>NOTE -B4</t>
  </si>
  <si>
    <t>FIXED ASSET SCHEDULE (NOTE NO : B7)</t>
  </si>
  <si>
    <t>NOTE -B8</t>
  </si>
  <si>
    <t>NOTE -B9</t>
  </si>
  <si>
    <t>(a) From Directors</t>
  </si>
  <si>
    <t>Bank charges</t>
  </si>
  <si>
    <t>Vat Receivalbe</t>
  </si>
  <si>
    <t xml:space="preserve">       (a) Share Holders Funds</t>
  </si>
  <si>
    <t>(a) Inventories</t>
  </si>
  <si>
    <t>(b) Trade receivables</t>
  </si>
  <si>
    <t xml:space="preserve">   Director                                 Director       </t>
  </si>
  <si>
    <t>(M.Mohan Reddy)       (P.Srinivas Reddy)</t>
  </si>
  <si>
    <t xml:space="preserve">   Materials Consumed</t>
  </si>
  <si>
    <t>Net (Increase) /Decrease In stock</t>
  </si>
  <si>
    <t xml:space="preserve">Profit/(Loss) for the year before tax </t>
  </si>
  <si>
    <t>Salaries , wages, Bonus and Gratury</t>
  </si>
  <si>
    <t>NOTE -P6</t>
  </si>
  <si>
    <t xml:space="preserve">    (a) Consumables Stores</t>
  </si>
  <si>
    <t xml:space="preserve">    (b) Power &amp; Fuel</t>
  </si>
  <si>
    <t xml:space="preserve">    (c) Rent</t>
  </si>
  <si>
    <t xml:space="preserve">    (d) Security Charges</t>
  </si>
  <si>
    <t xml:space="preserve">    (f) Insurance </t>
  </si>
  <si>
    <t xml:space="preserve">         - For Statutory Audit</t>
  </si>
  <si>
    <t>Surplus in Statement of Profit and Loss</t>
  </si>
  <si>
    <t>(a) Capital Reserve</t>
  </si>
  <si>
    <t xml:space="preserve">      State Subsidy</t>
  </si>
  <si>
    <t>(b) From other Related parties</t>
  </si>
  <si>
    <t>Other Misc. Expenes</t>
  </si>
  <si>
    <t>A</t>
  </si>
  <si>
    <t>B</t>
  </si>
  <si>
    <t xml:space="preserve">  iii) Gratuity </t>
  </si>
  <si>
    <t xml:space="preserve">  ii)  Provident Fund and ESI</t>
  </si>
  <si>
    <t>Computer</t>
  </si>
  <si>
    <t>Factory Building</t>
  </si>
  <si>
    <t>Flameless Furnace</t>
  </si>
  <si>
    <t>Furniture &amp; Fixtures</t>
  </si>
  <si>
    <t>Kiln &amp; Chimney</t>
  </si>
  <si>
    <t>Material Handling Equipment</t>
  </si>
  <si>
    <t>Moulds</t>
  </si>
  <si>
    <t>Office Building</t>
  </si>
  <si>
    <t>Other Assets</t>
  </si>
  <si>
    <t>Weighing Scale</t>
  </si>
  <si>
    <t xml:space="preserve">           - Tangible assets</t>
  </si>
  <si>
    <t>(c) Cash and cash equivalents</t>
  </si>
  <si>
    <t>(d) Short-term loans and advances</t>
  </si>
  <si>
    <t>B 9</t>
  </si>
  <si>
    <t>(2) Non-Current Liabilities</t>
  </si>
  <si>
    <t>(3) Current Liabilities</t>
  </si>
  <si>
    <t>Net Revenue from Operations</t>
  </si>
  <si>
    <t xml:space="preserve"> Gross Revenue from Operations</t>
  </si>
  <si>
    <t xml:space="preserve">Changes in Inventories </t>
  </si>
  <si>
    <t xml:space="preserve">Profit before exceptional items and Tax </t>
  </si>
  <si>
    <t xml:space="preserve">Exceptional Item </t>
  </si>
  <si>
    <t>Profit after Tax (V-VII)</t>
  </si>
  <si>
    <t xml:space="preserve"> Total Expenses </t>
  </si>
  <si>
    <t xml:space="preserve">Total Revenue </t>
  </si>
  <si>
    <t xml:space="preserve">a. Security Deposits </t>
  </si>
  <si>
    <t>(Unsecured, considered good)</t>
  </si>
  <si>
    <t xml:space="preserve">Advances for Capital Works </t>
  </si>
  <si>
    <t xml:space="preserve">Staff Advances </t>
  </si>
  <si>
    <t>Grand Total</t>
  </si>
  <si>
    <t>DEPRECIATION</t>
  </si>
  <si>
    <t xml:space="preserve">       Consumable Stores</t>
  </si>
  <si>
    <t xml:space="preserve"> </t>
  </si>
  <si>
    <t xml:space="preserve">Opening Stock </t>
  </si>
  <si>
    <t xml:space="preserve">Purchases </t>
  </si>
  <si>
    <t xml:space="preserve">Closing Stock </t>
  </si>
  <si>
    <t xml:space="preserve">  a) Raw Material</t>
  </si>
  <si>
    <t xml:space="preserve">  b) Packing Material Consumed</t>
  </si>
  <si>
    <t xml:space="preserve">  EARNINGS PER SHARE (EPS)</t>
  </si>
  <si>
    <t>Reconciliation of the number of shares outstanding at the beginning and at the end of the reporting period</t>
  </si>
  <si>
    <t>Previous Year</t>
  </si>
  <si>
    <t>We have verified the above Cash Flow  Statement of M/s.RAVILEELA GRANITES LTD., derived from Audited Financial Statements for the year ended 31st March,2013 and found the same in accordance there with, and also with the requirement of clause 32 of the Listing agreement with Stock Exchanges.</t>
  </si>
  <si>
    <t>B 13</t>
  </si>
  <si>
    <t xml:space="preserve"> As at 
31-Mar-2012</t>
  </si>
  <si>
    <t>As at 
31-Mar-2013</t>
  </si>
  <si>
    <t>As at 
01-Apr-2012</t>
  </si>
  <si>
    <t>Deductions</t>
  </si>
  <si>
    <t>As at 
31-Mar-2012</t>
  </si>
  <si>
    <t>A.Cash on hand</t>
  </si>
  <si>
    <t xml:space="preserve"> For the year ended
31-03-2013</t>
  </si>
  <si>
    <t xml:space="preserve"> For the year ended
31-03-2012</t>
  </si>
  <si>
    <t>Rs. in lakhs</t>
  </si>
  <si>
    <t>FY 2012-13</t>
  </si>
  <si>
    <t>FY 2011-12</t>
  </si>
  <si>
    <t>P 8</t>
  </si>
  <si>
    <t>Mr P Ravindar Reddy</t>
  </si>
  <si>
    <t xml:space="preserve"> Less: Calls in arrears (38480 Shares @ Rs.5/- each)</t>
  </si>
  <si>
    <t>As at 31-Mar-2012</t>
  </si>
  <si>
    <t>Equity Shares outstanding after de-rating as sanctioned by BIFR Order dated 04.11.2013 (1,01,18,800 fully paid shares @ Rs.4 and 96,200 partly paid shares @ Rs.2)</t>
  </si>
  <si>
    <t>(A)</t>
  </si>
  <si>
    <t>(B)</t>
  </si>
  <si>
    <t>Equity Shares outstanding at the end of the year  A+B</t>
  </si>
  <si>
    <t>Conversion of the Face value of the above Equity shares (40,47,520 fully paid shares @ Rs.10 and 38,480 partly paid shares @ Rs.5) as per above mentioned BIFR Order</t>
  </si>
  <si>
    <t>Conversion of unsecured loan from Promoters into Equity shares (65,00,000 fully paid shares @ Rs.10) as per above mentioned BIFR Order</t>
  </si>
  <si>
    <t>Public</t>
  </si>
  <si>
    <t>Less- Adjustment on account of reduction in capital</t>
  </si>
  <si>
    <t>(The accumulated losses have been adjusted against the Share Capital by way of reduction in accordance with the revival scheme of Board for Industrial and Financial reconstruction)</t>
  </si>
  <si>
    <t>other promoters</t>
  </si>
  <si>
    <t>Total promoters</t>
  </si>
  <si>
    <t xml:space="preserve">Other loans and advances </t>
  </si>
  <si>
    <t xml:space="preserve">  (Unsecured, considered good)</t>
  </si>
  <si>
    <t xml:space="preserve">   (Unsecured, considered good)</t>
  </si>
  <si>
    <t xml:space="preserve">    (f) Rates and Taxes</t>
  </si>
  <si>
    <t xml:space="preserve">    (g) Filing Fee</t>
  </si>
  <si>
    <t xml:space="preserve">         - For Tax matters</t>
  </si>
  <si>
    <t xml:space="preserve">         - For Other expenses</t>
  </si>
  <si>
    <t xml:space="preserve">    (h) AuditorsRemuneration :</t>
  </si>
  <si>
    <t xml:space="preserve">     (i) Carriage Outward</t>
  </si>
  <si>
    <t xml:space="preserve">     (j) Travelling and Conveyance</t>
  </si>
  <si>
    <t xml:space="preserve">     (k) Prior Period Expenses</t>
  </si>
  <si>
    <t xml:space="preserve">     (l) Misc. Expenses</t>
  </si>
  <si>
    <t>BALANCE SHEET AS AT 31st MARCH, 2013</t>
  </si>
  <si>
    <t xml:space="preserve">    Provision for employee benefits:</t>
  </si>
  <si>
    <t>Date: 04-12-2013</t>
  </si>
  <si>
    <t xml:space="preserve">      Sd/-</t>
  </si>
  <si>
    <t>Sd/-</t>
  </si>
  <si>
    <t xml:space="preserve">       Sd/-</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</si>
</sst>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00_);_(* \(#,##0.00\);_(* \-??_);_(@_)"/>
    <numFmt numFmtId="181" formatCode="_(* #,##0_);_(* \(#,##0\);_(* \-??_);_(@_)"/>
    <numFmt numFmtId="182" formatCode="_(* #,##0_);_(* \(#,##0\);_(* &quot;-&quot;??_);_(@_)"/>
    <numFmt numFmtId="183" formatCode="0_);\(0\)"/>
    <numFmt numFmtId="184" formatCode="_(* #,##0.0000_);_(* \(#,##0.0000\);_(* &quot;-&quot;??_);_(@_)"/>
    <numFmt numFmtId="185" formatCode="0.0"/>
    <numFmt numFmtId="186" formatCode="0.00_)"/>
    <numFmt numFmtId="187" formatCode="0;[Red]0"/>
    <numFmt numFmtId="188" formatCode="[$-409]d\-mmm\-yy;@"/>
    <numFmt numFmtId="189" formatCode="0.00000000000000_);\(0.00000000000000\)"/>
    <numFmt numFmtId="190" formatCode="0.00_);\(0.00\)"/>
    <numFmt numFmtId="191" formatCode="_(* #,##0.000_);_(* \(#,##0.000\);_(* &quot;-&quot;??_);_(@_)"/>
    <numFmt numFmtId="192" formatCode="_(* #,##0.000_);_(* \(#,##0.000\);_(* &quot;-&quot;???_);_(@_)"/>
    <numFmt numFmtId="193" formatCode="0.000"/>
    <numFmt numFmtId="194" formatCode="[$-409]mmm\-yy;@"/>
    <numFmt numFmtId="195" formatCode="0.000%"/>
    <numFmt numFmtId="196" formatCode="0.00000%"/>
    <numFmt numFmtId="197" formatCode="0.0%"/>
    <numFmt numFmtId="198" formatCode="_(* #,##0.0_);_(* \(#,##0.0\);_(* &quot;-&quot;??_);_(@_)"/>
    <numFmt numFmtId="199" formatCode="_ * #,##0.00000000000000_ ;_ * \-#,##0.00000000000000_ ;_ * &quot;-&quot;??????????????_ ;_ @_ "/>
    <numFmt numFmtId="200" formatCode="_ * #,##0.0000000000000_ ;_ * \-#,##0.0000000000000_ ;_ * &quot;-&quot;??????????????_ ;_ @_ "/>
    <numFmt numFmtId="201" formatCode="_ * #,##0.000000000000_ ;_ * \-#,##0.000000000000_ ;_ * &quot;-&quot;??????????????_ ;_ @_ "/>
    <numFmt numFmtId="202" formatCode="_ * #,##0.00000000000_ ;_ * \-#,##0.00000000000_ ;_ * &quot;-&quot;??????????????_ ;_ @_ "/>
    <numFmt numFmtId="203" formatCode="_ * #,##0.0000000000_ ;_ * \-#,##0.0000000000_ ;_ * &quot;-&quot;??????????????_ ;_ @_ "/>
    <numFmt numFmtId="204" formatCode="_ * #,##0.000000000_ ;_ * \-#,##0.000000000_ ;_ * &quot;-&quot;??????????????_ ;_ @_ "/>
    <numFmt numFmtId="205" formatCode="_ * #,##0.00000000_ ;_ * \-#,##0.00000000_ ;_ * &quot;-&quot;??????????????_ ;_ @_ "/>
    <numFmt numFmtId="206" formatCode="_ * #,##0.0000000_ ;_ * \-#,##0.0000000_ ;_ * &quot;-&quot;??????????????_ ;_ @_ "/>
    <numFmt numFmtId="207" formatCode="_ * #,##0.000000_ ;_ * \-#,##0.000000_ ;_ * &quot;-&quot;??????????????_ ;_ @_ "/>
    <numFmt numFmtId="208" formatCode="_ * #,##0.00000_ ;_ * \-#,##0.00000_ ;_ * &quot;-&quot;??????????????_ ;_ @_ "/>
    <numFmt numFmtId="209" formatCode="_ * #,##0.0000_ ;_ * \-#,##0.0000_ ;_ * &quot;-&quot;??????????????_ ;_ @_ "/>
    <numFmt numFmtId="210" formatCode="_ * #,##0.000_ ;_ * \-#,##0.000_ ;_ * &quot;-&quot;??????????????_ ;_ @_ "/>
    <numFmt numFmtId="211" formatCode="_ * #,##0.00_ ;_ * \-#,##0.00_ ;_ * &quot;-&quot;??????????????_ ;_ @_ "/>
    <numFmt numFmtId="212" formatCode="_ * #,##0.0_ ;_ * \-#,##0.0_ ;_ * &quot;-&quot;??????????????_ ;_ @_ "/>
    <numFmt numFmtId="213" formatCode="_ * #,##0_ ;_ * \-#,##0_ ;_ * &quot;-&quot;??????????????_ ;_ @_ "/>
    <numFmt numFmtId="214" formatCode="_-* #,##0.0_-;\-* #,##0.0_-;_-* &quot;-&quot;??_-;_-@_-"/>
    <numFmt numFmtId="215" formatCode="_-* #,##0_-;\-* #,##0_-;_-* &quot;-&quot;??_-;_-@_-"/>
  </numFmts>
  <fonts count="72">
    <font>
      <sz val="10"/>
      <name val="Arial"/>
      <family val="0"/>
    </font>
    <font>
      <b/>
      <sz val="10"/>
      <name val="Verdana"/>
      <family val="2"/>
    </font>
    <font>
      <sz val="10"/>
      <name val="Verdana"/>
      <family val="2"/>
    </font>
    <font>
      <b/>
      <u val="single"/>
      <sz val="10"/>
      <name val="Verdana"/>
      <family val="2"/>
    </font>
    <font>
      <sz val="10"/>
      <color indexed="8"/>
      <name val="Tahoma"/>
      <family val="2"/>
    </font>
    <font>
      <b/>
      <i/>
      <u val="single"/>
      <sz val="10"/>
      <name val="Verdana"/>
      <family val="2"/>
    </font>
    <font>
      <b/>
      <sz val="10"/>
      <color indexed="8"/>
      <name val="Verdana"/>
      <family val="2"/>
    </font>
    <font>
      <sz val="10"/>
      <color indexed="8"/>
      <name val="Verdana"/>
      <family val="2"/>
    </font>
    <font>
      <sz val="10"/>
      <color indexed="10"/>
      <name val="Verdana"/>
      <family val="2"/>
    </font>
    <font>
      <sz val="9"/>
      <name val="Tahoma"/>
      <family val="2"/>
    </font>
    <font>
      <b/>
      <sz val="9"/>
      <name val="Tahoma"/>
      <family val="2"/>
    </font>
    <font>
      <sz val="11"/>
      <name val="Calibri"/>
      <family val="2"/>
    </font>
    <font>
      <sz val="8"/>
      <name val="Tahoma"/>
      <family val="2"/>
    </font>
    <font>
      <sz val="8"/>
      <name val="Arial"/>
      <family val="2"/>
    </font>
    <font>
      <b/>
      <sz val="11"/>
      <name val="Calibri"/>
      <family val="2"/>
    </font>
    <font>
      <b/>
      <sz val="11"/>
      <color indexed="52"/>
      <name val="Calibri"/>
      <family val="2"/>
    </font>
    <font>
      <sz val="11"/>
      <color indexed="60"/>
      <name val="Calibri"/>
      <family val="2"/>
    </font>
    <font>
      <sz val="11"/>
      <color indexed="10"/>
      <name val="Calibri"/>
      <family val="2"/>
    </font>
    <font>
      <b/>
      <sz val="11"/>
      <color indexed="10"/>
      <name val="Calibri"/>
      <family val="2"/>
    </font>
    <font>
      <sz val="11"/>
      <color indexed="53"/>
      <name val="Calibri"/>
      <family val="2"/>
    </font>
    <font>
      <b/>
      <sz val="11"/>
      <color indexed="53"/>
      <name val="Calibri"/>
      <family val="2"/>
    </font>
    <font>
      <sz val="9"/>
      <name val="Verdana"/>
      <family val="2"/>
    </font>
    <font>
      <b/>
      <sz val="9"/>
      <name val="Verdana"/>
      <family val="2"/>
    </font>
    <font>
      <b/>
      <sz val="8"/>
      <name val="Verdana"/>
      <family val="2"/>
    </font>
    <font>
      <sz val="10"/>
      <name val="Book Antiqua"/>
      <family val="1"/>
    </font>
    <font>
      <sz val="10"/>
      <color indexed="8"/>
      <name val="Book Antiqua"/>
      <family val="1"/>
    </font>
    <font>
      <b/>
      <sz val="10"/>
      <name val="Book Antiqua"/>
      <family val="1"/>
    </font>
    <font>
      <b/>
      <sz val="10"/>
      <color indexed="8"/>
      <name val="Book Antiqua"/>
      <family val="1"/>
    </font>
    <font>
      <sz val="10"/>
      <color indexed="10"/>
      <name val="Book Antiqua"/>
      <family val="1"/>
    </font>
    <font>
      <b/>
      <u val="single"/>
      <sz val="10"/>
      <name val="Book Antiqua"/>
      <family val="1"/>
    </font>
    <font>
      <u val="single"/>
      <sz val="10"/>
      <name val="Book Antiqua"/>
      <family val="1"/>
    </font>
    <font>
      <b/>
      <sz val="8"/>
      <name val="Tahoma"/>
      <family val="2"/>
    </font>
    <font>
      <b/>
      <sz val="10"/>
      <color indexed="10"/>
      <name val="Book Antiqua"/>
      <family val="1"/>
    </font>
    <font>
      <sz val="10"/>
      <color indexed="17"/>
      <name val="Verdana"/>
      <family val="2"/>
    </font>
    <font>
      <sz val="8"/>
      <name val="Verdana"/>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Verdana"/>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53"/>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double">
        <color indexed="8"/>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color indexed="63"/>
      </left>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ouble"/>
    </border>
    <border>
      <left style="thin">
        <color indexed="8"/>
      </left>
      <right>
        <color indexed="63"/>
      </right>
      <top>
        <color indexed="63"/>
      </top>
      <bottom style="thin"/>
    </border>
    <border>
      <left style="thin"/>
      <right style="thin">
        <color indexed="8"/>
      </right>
      <top>
        <color indexed="63"/>
      </top>
      <bottom style="thin"/>
    </border>
    <border>
      <left style="thin"/>
      <right style="thin"/>
      <top style="thin"/>
      <bottom>
        <color indexed="63"/>
      </bottom>
    </border>
    <border>
      <left style="thin"/>
      <right style="thin"/>
      <top style="double">
        <color indexed="8"/>
      </top>
      <bottom>
        <color indexed="63"/>
      </bottom>
    </border>
    <border>
      <left>
        <color indexed="63"/>
      </left>
      <right style="thin"/>
      <top style="double">
        <color indexed="8"/>
      </top>
      <bottom>
        <color indexed="63"/>
      </bottom>
    </border>
    <border>
      <left style="thin"/>
      <right style="thin"/>
      <top style="double"/>
      <bottom>
        <color indexed="63"/>
      </bottom>
    </border>
    <border>
      <left style="medium"/>
      <right>
        <color indexed="63"/>
      </right>
      <top>
        <color indexed="63"/>
      </top>
      <bottom style="thin"/>
    </border>
    <border>
      <left style="thin"/>
      <right/>
      <top style="thin"/>
      <bottom style="thin"/>
    </border>
    <border>
      <left style="thin"/>
      <right style="thin"/>
      <top style="thin"/>
      <bottom style="double">
        <color indexed="8"/>
      </bottom>
    </border>
    <border>
      <left>
        <color indexed="63"/>
      </left>
      <right style="thin"/>
      <top style="thin"/>
      <bottom>
        <color indexed="63"/>
      </bottom>
    </border>
    <border>
      <left/>
      <right/>
      <top style="thin"/>
      <bottom style="thin"/>
    </border>
    <border>
      <left style="thin"/>
      <right>
        <color indexed="63"/>
      </right>
      <top style="double"/>
      <bottom style="thin"/>
    </border>
    <border>
      <left style="thin"/>
      <right style="thin"/>
      <top style="double"/>
      <bottom style="thin"/>
    </border>
    <border>
      <left style="thin"/>
      <right>
        <color indexed="63"/>
      </right>
      <top style="thin"/>
      <bottom style="double"/>
    </border>
    <border>
      <left>
        <color indexed="63"/>
      </left>
      <right style="thin"/>
      <top style="thin"/>
      <bottom style="double"/>
    </border>
    <border>
      <left style="thin"/>
      <right style="thin"/>
      <top style="double"/>
      <bottom style="double"/>
    </border>
    <border>
      <left>
        <color indexed="63"/>
      </left>
      <right style="thin"/>
      <top style="double"/>
      <bottom style="double"/>
    </border>
    <border>
      <left>
        <color indexed="63"/>
      </left>
      <right style="thin"/>
      <top style="double"/>
      <bottom>
        <color indexed="63"/>
      </bottom>
    </border>
    <border>
      <left>
        <color indexed="63"/>
      </left>
      <right style="thin"/>
      <top style="thin"/>
      <bottom style="double">
        <color indexed="8"/>
      </bottom>
    </border>
    <border>
      <left>
        <color indexed="63"/>
      </left>
      <right style="thin"/>
      <top style="double"/>
      <bottom style="thin"/>
    </border>
    <border>
      <left style="thin"/>
      <right style="thin"/>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57">
    <xf numFmtId="0" fontId="0" fillId="0" borderId="0" xfId="0" applyAlignment="1">
      <alignment/>
    </xf>
    <xf numFmtId="0" fontId="2" fillId="33" borderId="0" xfId="0" applyFont="1" applyFill="1" applyAlignment="1">
      <alignment/>
    </xf>
    <xf numFmtId="0" fontId="1" fillId="33" borderId="10" xfId="0" applyFont="1" applyFill="1" applyBorder="1" applyAlignment="1">
      <alignment horizontal="center" vertical="top" wrapText="1"/>
    </xf>
    <xf numFmtId="0" fontId="1" fillId="33" borderId="0" xfId="0" applyFont="1" applyFill="1" applyAlignment="1">
      <alignment/>
    </xf>
    <xf numFmtId="0" fontId="2" fillId="33" borderId="0" xfId="0" applyFont="1" applyFill="1" applyBorder="1" applyAlignment="1">
      <alignment/>
    </xf>
    <xf numFmtId="0" fontId="1" fillId="33" borderId="11" xfId="0" applyFont="1" applyFill="1" applyBorder="1" applyAlignment="1">
      <alignment horizontal="right"/>
    </xf>
    <xf numFmtId="0" fontId="2" fillId="33" borderId="12" xfId="0"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1" xfId="0" applyFont="1" applyFill="1" applyBorder="1" applyAlignment="1">
      <alignment horizontal="left" indent="1"/>
    </xf>
    <xf numFmtId="0" fontId="2" fillId="33" borderId="11" xfId="0" applyFont="1" applyFill="1" applyBorder="1" applyAlignment="1">
      <alignment horizontal="left" indent="2"/>
    </xf>
    <xf numFmtId="0" fontId="1" fillId="33" borderId="0" xfId="0" applyFont="1" applyFill="1" applyBorder="1" applyAlignment="1">
      <alignment horizontal="center"/>
    </xf>
    <xf numFmtId="0" fontId="2" fillId="33" borderId="0" xfId="0" applyFont="1" applyFill="1" applyAlignment="1">
      <alignment horizontal="center"/>
    </xf>
    <xf numFmtId="0" fontId="2" fillId="33" borderId="11" xfId="0" applyFont="1" applyFill="1" applyBorder="1" applyAlignment="1">
      <alignment/>
    </xf>
    <xf numFmtId="0" fontId="2" fillId="33" borderId="15" xfId="0" applyFont="1" applyFill="1" applyBorder="1" applyAlignment="1">
      <alignment horizontal="left" indent="2"/>
    </xf>
    <xf numFmtId="182" fontId="2" fillId="33" borderId="0" xfId="42" applyNumberFormat="1" applyFont="1" applyFill="1" applyBorder="1" applyAlignment="1">
      <alignment/>
    </xf>
    <xf numFmtId="0" fontId="2" fillId="33" borderId="0" xfId="0" applyFont="1" applyFill="1" applyBorder="1" applyAlignment="1">
      <alignment horizontal="center"/>
    </xf>
    <xf numFmtId="0" fontId="1" fillId="33" borderId="12" xfId="0" applyFont="1" applyFill="1" applyBorder="1" applyAlignment="1">
      <alignment horizontal="left" indent="6"/>
    </xf>
    <xf numFmtId="0" fontId="2" fillId="33" borderId="12" xfId="0" applyFont="1" applyFill="1" applyBorder="1" applyAlignment="1">
      <alignment horizontal="left" indent="1"/>
    </xf>
    <xf numFmtId="0" fontId="2" fillId="33" borderId="16" xfId="0" applyFont="1" applyFill="1" applyBorder="1" applyAlignment="1">
      <alignment horizontal="center"/>
    </xf>
    <xf numFmtId="0" fontId="2" fillId="33" borderId="0" xfId="0" applyFont="1" applyFill="1" applyBorder="1" applyAlignment="1">
      <alignment horizontal="left" indent="1"/>
    </xf>
    <xf numFmtId="0" fontId="2" fillId="33" borderId="11" xfId="0" applyFont="1" applyFill="1" applyBorder="1" applyAlignment="1">
      <alignment horizontal="center"/>
    </xf>
    <xf numFmtId="0" fontId="1" fillId="33" borderId="0" xfId="0" applyFont="1" applyFill="1" applyBorder="1" applyAlignment="1">
      <alignment horizontal="left" indent="1"/>
    </xf>
    <xf numFmtId="181" fontId="1" fillId="33" borderId="0" xfId="50" applyNumberFormat="1" applyFont="1" applyFill="1" applyBorder="1" applyAlignment="1" applyProtection="1">
      <alignment horizontal="left" vertical="top" wrapText="1" indent="7"/>
      <protection/>
    </xf>
    <xf numFmtId="0" fontId="2" fillId="33" borderId="0" xfId="0" applyFont="1" applyFill="1" applyBorder="1" applyAlignment="1">
      <alignment horizontal="left" vertical="center" indent="7"/>
    </xf>
    <xf numFmtId="182" fontId="2" fillId="33" borderId="17" xfId="50" applyNumberFormat="1" applyFont="1" applyFill="1" applyBorder="1" applyAlignment="1">
      <alignment/>
    </xf>
    <xf numFmtId="0" fontId="2" fillId="33" borderId="17" xfId="0" applyFont="1" applyFill="1" applyBorder="1" applyAlignment="1">
      <alignment horizontal="center"/>
    </xf>
    <xf numFmtId="0" fontId="14" fillId="33" borderId="18" xfId="0" applyFont="1" applyFill="1" applyBorder="1" applyAlignment="1" applyProtection="1">
      <alignment horizontal="center" vertical="top" wrapText="1"/>
      <protection/>
    </xf>
    <xf numFmtId="0" fontId="2" fillId="33" borderId="17" xfId="0" applyFont="1" applyFill="1" applyBorder="1" applyAlignment="1">
      <alignment horizontal="left" vertical="top" indent="1"/>
    </xf>
    <xf numFmtId="0" fontId="2" fillId="33" borderId="11" xfId="0" applyFont="1" applyFill="1" applyBorder="1" applyAlignment="1">
      <alignment horizontal="center" vertical="top"/>
    </xf>
    <xf numFmtId="0" fontId="2" fillId="33" borderId="17" xfId="0" applyFont="1" applyFill="1" applyBorder="1" applyAlignment="1">
      <alignment horizontal="left" vertical="top" wrapText="1" indent="1"/>
    </xf>
    <xf numFmtId="0" fontId="1" fillId="33" borderId="17" xfId="0" applyFont="1" applyFill="1" applyBorder="1" applyAlignment="1">
      <alignment horizontal="left" vertical="top" indent="15"/>
    </xf>
    <xf numFmtId="0" fontId="5" fillId="33" borderId="17" xfId="0" applyFont="1" applyFill="1" applyBorder="1" applyAlignment="1">
      <alignment horizontal="left" vertical="top" indent="1"/>
    </xf>
    <xf numFmtId="0" fontId="2" fillId="33" borderId="17" xfId="0" applyFont="1" applyFill="1" applyBorder="1" applyAlignment="1">
      <alignment/>
    </xf>
    <xf numFmtId="0" fontId="2" fillId="33" borderId="0" xfId="0" applyFont="1" applyFill="1" applyAlignment="1">
      <alignment horizontal="center" vertical="top"/>
    </xf>
    <xf numFmtId="0" fontId="1" fillId="33" borderId="12" xfId="0" applyFont="1" applyFill="1" applyBorder="1" applyAlignment="1">
      <alignment horizontal="center"/>
    </xf>
    <xf numFmtId="0" fontId="11" fillId="33" borderId="19" xfId="0" applyFont="1" applyFill="1" applyBorder="1" applyAlignment="1">
      <alignment/>
    </xf>
    <xf numFmtId="0" fontId="11" fillId="33" borderId="0" xfId="0" applyFont="1" applyFill="1" applyBorder="1" applyAlignment="1">
      <alignment/>
    </xf>
    <xf numFmtId="0" fontId="11" fillId="33" borderId="15" xfId="0" applyFont="1" applyFill="1" applyBorder="1" applyAlignment="1">
      <alignment/>
    </xf>
    <xf numFmtId="0" fontId="2" fillId="33" borderId="20" xfId="0" applyFont="1" applyFill="1" applyBorder="1" applyAlignment="1">
      <alignment horizontal="center"/>
    </xf>
    <xf numFmtId="0" fontId="8" fillId="33" borderId="0" xfId="68" applyFont="1" applyFill="1" applyAlignment="1">
      <alignment vertical="center" wrapText="1"/>
      <protection/>
    </xf>
    <xf numFmtId="0" fontId="2" fillId="33" borderId="11" xfId="0" applyFont="1" applyFill="1" applyBorder="1" applyAlignment="1">
      <alignment horizontal="left" vertical="top" wrapText="1" indent="2"/>
    </xf>
    <xf numFmtId="0" fontId="8" fillId="33" borderId="0" xfId="68" applyFont="1" applyFill="1">
      <alignment/>
      <protection/>
    </xf>
    <xf numFmtId="0" fontId="2" fillId="33" borderId="0" xfId="68" applyFont="1" applyFill="1" applyAlignment="1">
      <alignment vertical="center" wrapText="1"/>
      <protection/>
    </xf>
    <xf numFmtId="0" fontId="2" fillId="33" borderId="0" xfId="68" applyFont="1" applyFill="1">
      <alignment/>
      <protection/>
    </xf>
    <xf numFmtId="0" fontId="1" fillId="33" borderId="11" xfId="68" applyFont="1" applyFill="1" applyBorder="1" applyAlignment="1">
      <alignment horizontal="center"/>
      <protection/>
    </xf>
    <xf numFmtId="0" fontId="1" fillId="33" borderId="16" xfId="68" applyFont="1" applyFill="1" applyBorder="1" applyAlignment="1">
      <alignment horizontal="left" indent="1"/>
      <protection/>
    </xf>
    <xf numFmtId="0" fontId="1" fillId="33" borderId="0" xfId="68" applyFont="1" applyFill="1" applyAlignment="1">
      <alignment horizontal="center" vertical="top" wrapText="1"/>
      <protection/>
    </xf>
    <xf numFmtId="0" fontId="1" fillId="33" borderId="21" xfId="68" applyFont="1" applyFill="1" applyBorder="1" applyAlignment="1">
      <alignment horizontal="center" vertical="top" wrapText="1"/>
      <protection/>
    </xf>
    <xf numFmtId="0" fontId="3" fillId="33" borderId="11" xfId="68" applyFont="1" applyFill="1" applyBorder="1" applyAlignment="1">
      <alignment horizontal="left" vertical="center" wrapText="1" indent="1"/>
      <protection/>
    </xf>
    <xf numFmtId="0" fontId="2" fillId="33" borderId="11" xfId="68" applyFont="1" applyFill="1" applyBorder="1" applyAlignment="1">
      <alignment horizontal="left" vertical="center" wrapText="1" indent="2"/>
      <protection/>
    </xf>
    <xf numFmtId="0" fontId="2" fillId="33" borderId="11" xfId="0" applyFont="1" applyFill="1" applyBorder="1" applyAlignment="1">
      <alignment horizontal="left" vertical="top" wrapText="1" indent="1"/>
    </xf>
    <xf numFmtId="0" fontId="1" fillId="33" borderId="16" xfId="0" applyFont="1" applyFill="1" applyBorder="1" applyAlignment="1">
      <alignment horizontal="center"/>
    </xf>
    <xf numFmtId="0" fontId="2" fillId="33" borderId="11" xfId="0" applyFont="1" applyFill="1" applyBorder="1" applyAlignment="1">
      <alignment/>
    </xf>
    <xf numFmtId="0" fontId="2" fillId="33" borderId="0" xfId="0" applyFont="1" applyFill="1" applyBorder="1" applyAlignment="1">
      <alignment/>
    </xf>
    <xf numFmtId="0" fontId="1" fillId="33" borderId="11" xfId="0" applyFont="1" applyFill="1" applyBorder="1" applyAlignment="1">
      <alignment horizontal="left" indent="1"/>
    </xf>
    <xf numFmtId="0" fontId="2" fillId="33" borderId="11" xfId="0" applyFont="1" applyFill="1" applyBorder="1" applyAlignment="1">
      <alignment horizontal="left" vertical="center" indent="1"/>
    </xf>
    <xf numFmtId="0" fontId="1" fillId="33" borderId="0" xfId="0" applyFont="1" applyFill="1" applyBorder="1" applyAlignment="1">
      <alignment horizontal="left"/>
    </xf>
    <xf numFmtId="0" fontId="2" fillId="33" borderId="16" xfId="0" applyFont="1" applyFill="1" applyBorder="1" applyAlignment="1">
      <alignment horizontal="left" indent="1"/>
    </xf>
    <xf numFmtId="182" fontId="2" fillId="33" borderId="17" xfId="42" applyNumberFormat="1" applyFont="1" applyFill="1" applyBorder="1" applyAlignment="1">
      <alignment/>
    </xf>
    <xf numFmtId="0" fontId="2" fillId="33" borderId="11" xfId="0" applyFont="1" applyFill="1" applyBorder="1" applyAlignment="1">
      <alignment horizontal="left" vertical="top" wrapText="1" indent="3"/>
    </xf>
    <xf numFmtId="0" fontId="2" fillId="33" borderId="11" xfId="68" applyFont="1" applyFill="1" applyBorder="1" applyAlignment="1">
      <alignment vertical="center" wrapText="1"/>
      <protection/>
    </xf>
    <xf numFmtId="0" fontId="1" fillId="33" borderId="11" xfId="0" applyFont="1" applyFill="1" applyBorder="1" applyAlignment="1">
      <alignment horizontal="right" vertical="top" wrapText="1" indent="1"/>
    </xf>
    <xf numFmtId="0" fontId="1" fillId="33" borderId="11" xfId="0" applyFont="1" applyFill="1" applyBorder="1" applyAlignment="1">
      <alignment horizontal="center"/>
    </xf>
    <xf numFmtId="0" fontId="1" fillId="33" borderId="11" xfId="0" applyFont="1" applyFill="1" applyBorder="1" applyAlignment="1">
      <alignment horizontal="left"/>
    </xf>
    <xf numFmtId="0" fontId="6" fillId="33" borderId="11" xfId="0" applyFont="1" applyFill="1" applyBorder="1" applyAlignment="1">
      <alignment horizontal="left"/>
    </xf>
    <xf numFmtId="0" fontId="6" fillId="33" borderId="11" xfId="0" applyFont="1" applyFill="1" applyBorder="1" applyAlignment="1">
      <alignment/>
    </xf>
    <xf numFmtId="0" fontId="6" fillId="33" borderId="17" xfId="0" applyFont="1" applyFill="1" applyBorder="1" applyAlignment="1">
      <alignment horizontal="center"/>
    </xf>
    <xf numFmtId="0" fontId="7" fillId="33" borderId="11" xfId="0" applyFont="1" applyFill="1" applyBorder="1" applyAlignment="1">
      <alignment horizontal="center"/>
    </xf>
    <xf numFmtId="0" fontId="7" fillId="33" borderId="11" xfId="0" applyFont="1" applyFill="1" applyBorder="1" applyAlignment="1">
      <alignment/>
    </xf>
    <xf numFmtId="182" fontId="6" fillId="33" borderId="17" xfId="42" applyNumberFormat="1" applyFont="1" applyFill="1" applyBorder="1" applyAlignment="1">
      <alignment horizontal="center"/>
    </xf>
    <xf numFmtId="0" fontId="7" fillId="33" borderId="11" xfId="0" applyFont="1" applyFill="1" applyBorder="1" applyAlignment="1">
      <alignment horizontal="right" vertical="top" wrapText="1"/>
    </xf>
    <xf numFmtId="0" fontId="7" fillId="33" borderId="11" xfId="0" applyFont="1" applyFill="1" applyBorder="1" applyAlignment="1">
      <alignment horizontal="left" vertical="top" indent="1"/>
    </xf>
    <xf numFmtId="182" fontId="7" fillId="33" borderId="17" xfId="42" applyNumberFormat="1" applyFont="1" applyFill="1" applyBorder="1" applyAlignment="1">
      <alignment horizontal="center" vertical="top"/>
    </xf>
    <xf numFmtId="0" fontId="7" fillId="33" borderId="17" xfId="0" applyFont="1" applyFill="1" applyBorder="1" applyAlignment="1">
      <alignment horizontal="left" vertical="top" indent="1"/>
    </xf>
    <xf numFmtId="182" fontId="2" fillId="33" borderId="10" xfId="42" applyNumberFormat="1" applyFont="1" applyFill="1" applyBorder="1" applyAlignment="1">
      <alignment/>
    </xf>
    <xf numFmtId="43" fontId="1" fillId="33" borderId="20" xfId="48" applyNumberFormat="1" applyFont="1" applyFill="1" applyBorder="1" applyAlignment="1">
      <alignment horizontal="center"/>
    </xf>
    <xf numFmtId="0" fontId="7" fillId="33" borderId="0" xfId="0" applyFont="1" applyFill="1" applyBorder="1" applyAlignment="1">
      <alignment horizontal="center" vertical="top"/>
    </xf>
    <xf numFmtId="0" fontId="3" fillId="33" borderId="11" xfId="0" applyFont="1" applyFill="1" applyBorder="1" applyAlignment="1">
      <alignment horizontal="left" indent="2"/>
    </xf>
    <xf numFmtId="0" fontId="1" fillId="33" borderId="11" xfId="0" applyFont="1" applyFill="1" applyBorder="1" applyAlignment="1">
      <alignment horizontal="left" indent="2"/>
    </xf>
    <xf numFmtId="0" fontId="1" fillId="33" borderId="11" xfId="68" applyFont="1" applyFill="1" applyBorder="1" applyAlignment="1">
      <alignment horizontal="left" vertical="center" indent="1"/>
      <protection/>
    </xf>
    <xf numFmtId="0" fontId="1" fillId="33" borderId="11" xfId="0" applyFont="1" applyFill="1" applyBorder="1" applyAlignment="1">
      <alignment horizontal="left" vertical="top" indent="2"/>
    </xf>
    <xf numFmtId="0" fontId="2" fillId="33" borderId="0" xfId="67" applyFont="1" applyFill="1" applyAlignment="1">
      <alignment vertical="center" wrapText="1"/>
      <protection/>
    </xf>
    <xf numFmtId="181" fontId="2" fillId="33" borderId="0" xfId="45" applyNumberFormat="1" applyFont="1" applyFill="1" applyBorder="1" applyAlignment="1" applyProtection="1">
      <alignment horizontal="right" vertical="center" wrapText="1"/>
      <protection/>
    </xf>
    <xf numFmtId="0" fontId="2" fillId="33" borderId="0" xfId="67" applyFont="1" applyFill="1">
      <alignment/>
      <protection/>
    </xf>
    <xf numFmtId="181" fontId="2" fillId="33" borderId="0" xfId="45" applyNumberFormat="1" applyFont="1" applyFill="1" applyBorder="1" applyAlignment="1">
      <alignment horizontal="center"/>
    </xf>
    <xf numFmtId="0" fontId="1" fillId="33" borderId="0" xfId="67" applyFont="1" applyFill="1" applyAlignment="1">
      <alignment horizontal="center" vertical="top" wrapText="1"/>
      <protection/>
    </xf>
    <xf numFmtId="0" fontId="2" fillId="33" borderId="0" xfId="67" applyFont="1" applyFill="1" applyAlignment="1">
      <alignment horizontal="left" vertical="top" wrapText="1" indent="2"/>
      <protection/>
    </xf>
    <xf numFmtId="0" fontId="2" fillId="33" borderId="0" xfId="67" applyFont="1" applyFill="1" applyAlignment="1">
      <alignment wrapText="1"/>
      <protection/>
    </xf>
    <xf numFmtId="0" fontId="2" fillId="33" borderId="0" xfId="67" applyFont="1" applyFill="1" applyAlignment="1">
      <alignment/>
      <protection/>
    </xf>
    <xf numFmtId="0" fontId="11" fillId="33" borderId="0" xfId="0" applyFont="1" applyFill="1" applyAlignment="1">
      <alignment/>
    </xf>
    <xf numFmtId="0" fontId="11" fillId="33" borderId="0" xfId="0" applyFont="1" applyFill="1" applyAlignment="1">
      <alignment/>
    </xf>
    <xf numFmtId="0" fontId="14" fillId="33" borderId="22" xfId="0" applyFont="1" applyFill="1" applyBorder="1" applyAlignment="1" applyProtection="1">
      <alignment/>
      <protection/>
    </xf>
    <xf numFmtId="0" fontId="14" fillId="33" borderId="0" xfId="0" applyFont="1" applyFill="1" applyBorder="1" applyAlignment="1" applyProtection="1">
      <alignment/>
      <protection/>
    </xf>
    <xf numFmtId="0" fontId="14" fillId="33" borderId="23" xfId="0" applyFont="1" applyFill="1" applyBorder="1" applyAlignment="1" applyProtection="1">
      <alignment/>
      <protection/>
    </xf>
    <xf numFmtId="0" fontId="11" fillId="33" borderId="23" xfId="0" applyFont="1" applyFill="1" applyBorder="1" applyAlignment="1">
      <alignment/>
    </xf>
    <xf numFmtId="0" fontId="11" fillId="33" borderId="22" xfId="0" applyFont="1" applyFill="1" applyBorder="1" applyAlignment="1">
      <alignment/>
    </xf>
    <xf numFmtId="0" fontId="14" fillId="33" borderId="0" xfId="0" applyFont="1" applyFill="1" applyAlignment="1">
      <alignment/>
    </xf>
    <xf numFmtId="0" fontId="14" fillId="33" borderId="19" xfId="0" applyFont="1" applyFill="1" applyBorder="1" applyAlignment="1" applyProtection="1">
      <alignment horizontal="center" vertical="top" wrapText="1"/>
      <protection/>
    </xf>
    <xf numFmtId="0" fontId="14" fillId="33" borderId="24" xfId="0" applyFont="1" applyFill="1" applyBorder="1" applyAlignment="1" applyProtection="1">
      <alignment horizontal="center" vertical="top" wrapText="1"/>
      <protection/>
    </xf>
    <xf numFmtId="0" fontId="14" fillId="33" borderId="0" xfId="0" applyFont="1" applyFill="1" applyAlignment="1">
      <alignment horizontal="center" vertical="top" wrapText="1"/>
    </xf>
    <xf numFmtId="0" fontId="11" fillId="33" borderId="22" xfId="0" applyFont="1" applyFill="1" applyBorder="1" applyAlignment="1">
      <alignment horizontal="center"/>
    </xf>
    <xf numFmtId="0" fontId="11" fillId="33" borderId="17" xfId="0" applyFont="1" applyFill="1" applyBorder="1" applyAlignment="1">
      <alignment horizontal="center"/>
    </xf>
    <xf numFmtId="0" fontId="11" fillId="33" borderId="15" xfId="0" applyFont="1" applyFill="1" applyBorder="1" applyAlignment="1" applyProtection="1">
      <alignment horizontal="left"/>
      <protection/>
    </xf>
    <xf numFmtId="182" fontId="11" fillId="0" borderId="17" xfId="42" applyNumberFormat="1" applyFont="1" applyFill="1" applyBorder="1" applyAlignment="1" applyProtection="1">
      <alignment/>
      <protection/>
    </xf>
    <xf numFmtId="182" fontId="11" fillId="33" borderId="15" xfId="42" applyNumberFormat="1" applyFont="1" applyFill="1" applyBorder="1" applyAlignment="1" applyProtection="1">
      <alignment/>
      <protection/>
    </xf>
    <xf numFmtId="182" fontId="11" fillId="33" borderId="17" xfId="42" applyNumberFormat="1" applyFont="1" applyFill="1" applyBorder="1" applyAlignment="1">
      <alignment/>
    </xf>
    <xf numFmtId="182" fontId="11" fillId="33" borderId="17" xfId="42" applyNumberFormat="1" applyFont="1" applyFill="1" applyBorder="1" applyAlignment="1" applyProtection="1">
      <alignment/>
      <protection/>
    </xf>
    <xf numFmtId="182" fontId="11" fillId="33" borderId="23" xfId="42" applyNumberFormat="1" applyFont="1" applyFill="1" applyBorder="1" applyAlignment="1">
      <alignment/>
    </xf>
    <xf numFmtId="182" fontId="11" fillId="0" borderId="15" xfId="42" applyNumberFormat="1" applyFont="1" applyFill="1" applyBorder="1" applyAlignment="1" applyProtection="1">
      <alignment/>
      <protection/>
    </xf>
    <xf numFmtId="37" fontId="0" fillId="0" borderId="0" xfId="0" applyNumberFormat="1" applyAlignment="1">
      <alignment/>
    </xf>
    <xf numFmtId="182" fontId="0" fillId="0" borderId="0" xfId="0" applyNumberFormat="1" applyAlignment="1">
      <alignment/>
    </xf>
    <xf numFmtId="0" fontId="0" fillId="34" borderId="19" xfId="0" applyFill="1" applyBorder="1" applyAlignment="1">
      <alignment/>
    </xf>
    <xf numFmtId="182" fontId="11" fillId="0" borderId="17" xfId="42" applyNumberFormat="1" applyFont="1" applyFill="1" applyBorder="1" applyAlignment="1">
      <alignment/>
    </xf>
    <xf numFmtId="182" fontId="11" fillId="33" borderId="15" xfId="42" applyNumberFormat="1" applyFont="1" applyFill="1" applyBorder="1" applyAlignment="1">
      <alignment/>
    </xf>
    <xf numFmtId="182" fontId="17" fillId="0" borderId="17" xfId="42" applyNumberFormat="1" applyFont="1" applyFill="1" applyBorder="1" applyAlignment="1" applyProtection="1">
      <alignment/>
      <protection/>
    </xf>
    <xf numFmtId="0" fontId="11" fillId="33" borderId="22" xfId="0" applyFont="1" applyFill="1" applyBorder="1" applyAlignment="1" applyProtection="1">
      <alignment horizontal="center"/>
      <protection/>
    </xf>
    <xf numFmtId="0" fontId="11" fillId="33" borderId="19" xfId="0" applyFont="1" applyFill="1" applyBorder="1" applyAlignment="1" applyProtection="1">
      <alignment horizontal="center"/>
      <protection/>
    </xf>
    <xf numFmtId="0" fontId="14" fillId="33" borderId="18" xfId="0" applyFont="1" applyFill="1" applyBorder="1" applyAlignment="1" applyProtection="1">
      <alignment horizontal="left"/>
      <protection/>
    </xf>
    <xf numFmtId="182" fontId="14" fillId="33" borderId="19" xfId="42" applyNumberFormat="1" applyFont="1" applyFill="1" applyBorder="1" applyAlignment="1" applyProtection="1">
      <alignment/>
      <protection/>
    </xf>
    <xf numFmtId="182" fontId="14" fillId="33" borderId="18" xfId="42" applyNumberFormat="1" applyFont="1" applyFill="1" applyBorder="1" applyAlignment="1" applyProtection="1">
      <alignment/>
      <protection/>
    </xf>
    <xf numFmtId="182" fontId="14" fillId="0" borderId="18" xfId="42" applyNumberFormat="1" applyFont="1" applyFill="1" applyBorder="1" applyAlignment="1" applyProtection="1">
      <alignment/>
      <protection/>
    </xf>
    <xf numFmtId="182" fontId="14" fillId="33" borderId="24" xfId="42" applyNumberFormat="1" applyFont="1" applyFill="1" applyBorder="1" applyAlignment="1" applyProtection="1">
      <alignment/>
      <protection/>
    </xf>
    <xf numFmtId="0" fontId="14" fillId="33" borderId="25" xfId="0" applyFont="1" applyFill="1" applyBorder="1" applyAlignment="1" applyProtection="1">
      <alignment horizontal="left"/>
      <protection/>
    </xf>
    <xf numFmtId="182" fontId="14" fillId="33" borderId="20" xfId="42" applyNumberFormat="1" applyFont="1" applyFill="1" applyBorder="1" applyAlignment="1" applyProtection="1">
      <alignment/>
      <protection/>
    </xf>
    <xf numFmtId="182" fontId="14" fillId="0" borderId="19" xfId="42" applyNumberFormat="1" applyFont="1" applyFill="1" applyBorder="1" applyAlignment="1" applyProtection="1">
      <alignment/>
      <protection/>
    </xf>
    <xf numFmtId="182" fontId="11" fillId="33" borderId="19" xfId="42" applyNumberFormat="1" applyFont="1" applyFill="1" applyBorder="1" applyAlignment="1" applyProtection="1">
      <alignment/>
      <protection/>
    </xf>
    <xf numFmtId="182" fontId="11" fillId="33" borderId="18" xfId="42" applyNumberFormat="1" applyFont="1" applyFill="1" applyBorder="1" applyAlignment="1" applyProtection="1">
      <alignment/>
      <protection/>
    </xf>
    <xf numFmtId="182" fontId="11" fillId="33" borderId="24" xfId="42" applyNumberFormat="1" applyFont="1" applyFill="1" applyBorder="1" applyAlignment="1">
      <alignment/>
    </xf>
    <xf numFmtId="182" fontId="14" fillId="33" borderId="26" xfId="42" applyNumberFormat="1" applyFont="1" applyFill="1" applyBorder="1" applyAlignment="1" applyProtection="1">
      <alignment/>
      <protection/>
    </xf>
    <xf numFmtId="0" fontId="11" fillId="33" borderId="20" xfId="0" applyFont="1" applyFill="1" applyBorder="1" applyAlignment="1">
      <alignment horizontal="center"/>
    </xf>
    <xf numFmtId="0" fontId="11" fillId="33" borderId="25" xfId="0" applyFont="1" applyFill="1" applyBorder="1" applyAlignment="1">
      <alignment/>
    </xf>
    <xf numFmtId="182" fontId="11" fillId="33" borderId="20" xfId="42" applyNumberFormat="1" applyFont="1" applyFill="1" applyBorder="1" applyAlignment="1">
      <alignment horizontal="right"/>
    </xf>
    <xf numFmtId="182" fontId="11" fillId="33" borderId="25" xfId="42" applyNumberFormat="1" applyFont="1" applyFill="1" applyBorder="1" applyAlignment="1">
      <alignment horizontal="right"/>
    </xf>
    <xf numFmtId="182" fontId="11" fillId="33" borderId="20" xfId="42" applyNumberFormat="1" applyFont="1" applyFill="1" applyBorder="1" applyAlignment="1" applyProtection="1">
      <alignment horizontal="right"/>
      <protection/>
    </xf>
    <xf numFmtId="182" fontId="11" fillId="33" borderId="25" xfId="42" applyNumberFormat="1" applyFont="1" applyFill="1" applyBorder="1" applyAlignment="1" applyProtection="1">
      <alignment horizontal="right"/>
      <protection/>
    </xf>
    <xf numFmtId="182" fontId="11" fillId="33" borderId="27" xfId="42" applyNumberFormat="1" applyFont="1" applyFill="1" applyBorder="1" applyAlignment="1">
      <alignment horizontal="right"/>
    </xf>
    <xf numFmtId="0" fontId="11" fillId="33" borderId="28" xfId="0" applyFont="1" applyFill="1" applyBorder="1" applyAlignment="1">
      <alignment/>
    </xf>
    <xf numFmtId="0" fontId="11" fillId="33" borderId="29" xfId="0" applyFont="1" applyFill="1" applyBorder="1" applyAlignment="1">
      <alignment/>
    </xf>
    <xf numFmtId="0" fontId="11" fillId="33" borderId="30" xfId="0" applyFont="1" applyFill="1" applyBorder="1" applyAlignment="1">
      <alignment/>
    </xf>
    <xf numFmtId="0" fontId="11" fillId="33" borderId="0" xfId="0" applyFont="1" applyFill="1" applyBorder="1" applyAlignment="1" applyProtection="1">
      <alignment/>
      <protection/>
    </xf>
    <xf numFmtId="0" fontId="14" fillId="33" borderId="0" xfId="0" applyFont="1" applyFill="1" applyAlignment="1" applyProtection="1">
      <alignment horizontal="left"/>
      <protection/>
    </xf>
    <xf numFmtId="182" fontId="14" fillId="33" borderId="0" xfId="0" applyNumberFormat="1" applyFont="1" applyFill="1" applyAlignment="1" applyProtection="1">
      <alignment horizontal="left"/>
      <protection/>
    </xf>
    <xf numFmtId="0" fontId="11" fillId="33" borderId="0" xfId="0" applyFont="1" applyFill="1" applyAlignment="1" applyProtection="1">
      <alignment horizontal="left"/>
      <protection/>
    </xf>
    <xf numFmtId="182" fontId="11" fillId="33" borderId="0" xfId="0" applyNumberFormat="1" applyFont="1" applyFill="1" applyAlignment="1">
      <alignment/>
    </xf>
    <xf numFmtId="186" fontId="11" fillId="33" borderId="0" xfId="0" applyNumberFormat="1" applyFont="1" applyFill="1" applyAlignment="1" applyProtection="1">
      <alignment/>
      <protection/>
    </xf>
    <xf numFmtId="0" fontId="11" fillId="0" borderId="19" xfId="0" applyFont="1" applyFill="1" applyBorder="1" applyAlignment="1">
      <alignment/>
    </xf>
    <xf numFmtId="0" fontId="14" fillId="0" borderId="19" xfId="0" applyFont="1" applyFill="1" applyBorder="1" applyAlignment="1">
      <alignment/>
    </xf>
    <xf numFmtId="0" fontId="14" fillId="0" borderId="19" xfId="0" applyFont="1" applyFill="1" applyBorder="1" applyAlignment="1">
      <alignment horizontal="center"/>
    </xf>
    <xf numFmtId="10" fontId="11" fillId="0" borderId="19" xfId="74" applyNumberFormat="1" applyFont="1" applyFill="1" applyBorder="1" applyAlignment="1">
      <alignment/>
    </xf>
    <xf numFmtId="2" fontId="17" fillId="0" borderId="19" xfId="0" applyNumberFormat="1" applyFont="1" applyFill="1" applyBorder="1" applyAlignment="1">
      <alignment/>
    </xf>
    <xf numFmtId="0" fontId="18" fillId="0" borderId="19" xfId="0" applyFont="1" applyFill="1" applyBorder="1" applyAlignment="1">
      <alignment/>
    </xf>
    <xf numFmtId="2" fontId="11" fillId="34" borderId="19" xfId="0" applyNumberFormat="1" applyFont="1" applyFill="1" applyBorder="1" applyAlignment="1">
      <alignment/>
    </xf>
    <xf numFmtId="0" fontId="11" fillId="34" borderId="19" xfId="0" applyFont="1" applyFill="1" applyBorder="1" applyAlignment="1">
      <alignment/>
    </xf>
    <xf numFmtId="2" fontId="11" fillId="33" borderId="0" xfId="0" applyNumberFormat="1" applyFont="1" applyFill="1" applyAlignment="1">
      <alignment/>
    </xf>
    <xf numFmtId="2" fontId="11" fillId="0" borderId="19" xfId="0" applyNumberFormat="1" applyFont="1" applyFill="1" applyBorder="1" applyAlignment="1">
      <alignment/>
    </xf>
    <xf numFmtId="0" fontId="17" fillId="0" borderId="19" xfId="0" applyFont="1" applyFill="1" applyBorder="1" applyAlignment="1">
      <alignment/>
    </xf>
    <xf numFmtId="1" fontId="11" fillId="0" borderId="19" xfId="0" applyNumberFormat="1" applyFont="1" applyFill="1" applyBorder="1" applyAlignment="1">
      <alignment/>
    </xf>
    <xf numFmtId="182" fontId="11" fillId="0" borderId="19" xfId="0" applyNumberFormat="1" applyFont="1" applyFill="1" applyBorder="1" applyAlignment="1">
      <alignment/>
    </xf>
    <xf numFmtId="1" fontId="14" fillId="0" borderId="19" xfId="0" applyNumberFormat="1" applyFont="1" applyFill="1" applyBorder="1" applyAlignment="1">
      <alignment/>
    </xf>
    <xf numFmtId="0" fontId="19" fillId="33" borderId="31" xfId="0" applyFont="1" applyFill="1" applyBorder="1" applyAlignment="1">
      <alignment/>
    </xf>
    <xf numFmtId="0" fontId="11" fillId="0" borderId="0" xfId="0" applyFont="1" applyFill="1" applyAlignment="1">
      <alignment/>
    </xf>
    <xf numFmtId="1" fontId="11" fillId="0" borderId="0" xfId="0" applyNumberFormat="1" applyFont="1" applyFill="1" applyAlignment="1">
      <alignment/>
    </xf>
    <xf numFmtId="1" fontId="11" fillId="33" borderId="0" xfId="0" applyNumberFormat="1" applyFont="1" applyFill="1" applyAlignment="1">
      <alignment/>
    </xf>
    <xf numFmtId="14" fontId="11" fillId="33" borderId="0" xfId="0" applyNumberFormat="1" applyFont="1" applyFill="1" applyAlignment="1">
      <alignment/>
    </xf>
    <xf numFmtId="0" fontId="11" fillId="33" borderId="0" xfId="0" applyFont="1" applyFill="1" applyAlignment="1">
      <alignment horizontal="center"/>
    </xf>
    <xf numFmtId="0" fontId="20" fillId="33" borderId="0" xfId="0" applyFont="1" applyFill="1" applyAlignment="1">
      <alignment/>
    </xf>
    <xf numFmtId="10" fontId="11" fillId="33" borderId="0" xfId="74" applyNumberFormat="1" applyFont="1" applyFill="1" applyAlignment="1">
      <alignment/>
    </xf>
    <xf numFmtId="0" fontId="20" fillId="0" borderId="0" xfId="0" applyFont="1" applyFill="1" applyAlignment="1">
      <alignment/>
    </xf>
    <xf numFmtId="2" fontId="17" fillId="33" borderId="0" xfId="74" applyNumberFormat="1" applyFont="1" applyFill="1" applyAlignment="1">
      <alignment/>
    </xf>
    <xf numFmtId="14" fontId="17" fillId="33" borderId="0" xfId="0" applyNumberFormat="1" applyFont="1" applyFill="1" applyAlignment="1">
      <alignment/>
    </xf>
    <xf numFmtId="0" fontId="17" fillId="33" borderId="0" xfId="0" applyFont="1" applyFill="1" applyAlignment="1">
      <alignment/>
    </xf>
    <xf numFmtId="0" fontId="11" fillId="33" borderId="0" xfId="0" applyNumberFormat="1" applyFont="1" applyFill="1" applyAlignment="1">
      <alignment/>
    </xf>
    <xf numFmtId="0" fontId="11" fillId="33" borderId="0" xfId="74" applyNumberFormat="1" applyFont="1" applyFill="1" applyAlignment="1">
      <alignment/>
    </xf>
    <xf numFmtId="0" fontId="11" fillId="33" borderId="31" xfId="0" applyFont="1" applyFill="1" applyBorder="1" applyAlignment="1">
      <alignment/>
    </xf>
    <xf numFmtId="0" fontId="11" fillId="33" borderId="31" xfId="0" applyNumberFormat="1" applyFont="1" applyFill="1" applyBorder="1" applyAlignment="1">
      <alignment/>
    </xf>
    <xf numFmtId="0" fontId="17" fillId="33" borderId="0" xfId="0" applyFont="1" applyFill="1" applyBorder="1" applyAlignment="1">
      <alignment/>
    </xf>
    <xf numFmtId="0" fontId="14" fillId="33" borderId="31" xfId="0" applyFont="1" applyFill="1" applyBorder="1" applyAlignment="1">
      <alignment/>
    </xf>
    <xf numFmtId="0" fontId="18" fillId="33" borderId="0" xfId="0" applyFont="1" applyFill="1" applyAlignment="1">
      <alignment/>
    </xf>
    <xf numFmtId="0" fontId="19" fillId="33" borderId="0" xfId="0" applyFont="1" applyFill="1" applyBorder="1" applyAlignment="1">
      <alignment/>
    </xf>
    <xf numFmtId="10" fontId="17" fillId="33" borderId="0" xfId="74" applyNumberFormat="1" applyFont="1" applyFill="1" applyAlignment="1">
      <alignment/>
    </xf>
    <xf numFmtId="0" fontId="17" fillId="33" borderId="31" xfId="0" applyFont="1" applyFill="1" applyBorder="1" applyAlignment="1">
      <alignment/>
    </xf>
    <xf numFmtId="10" fontId="11" fillId="33" borderId="0" xfId="0" applyNumberFormat="1" applyFont="1" applyFill="1" applyAlignment="1">
      <alignment/>
    </xf>
    <xf numFmtId="9" fontId="17" fillId="33" borderId="0" xfId="74" applyNumberFormat="1" applyFont="1" applyFill="1" applyAlignment="1">
      <alignment/>
    </xf>
    <xf numFmtId="0" fontId="14" fillId="33" borderId="0" xfId="0" applyFont="1" applyFill="1" applyBorder="1" applyAlignment="1">
      <alignment/>
    </xf>
    <xf numFmtId="0" fontId="17" fillId="33" borderId="14" xfId="0" applyFont="1" applyFill="1" applyBorder="1" applyAlignment="1">
      <alignment/>
    </xf>
    <xf numFmtId="0" fontId="14" fillId="0" borderId="0" xfId="0" applyFont="1" applyFill="1" applyBorder="1" applyAlignment="1">
      <alignment/>
    </xf>
    <xf numFmtId="10" fontId="11" fillId="0" borderId="0" xfId="74" applyNumberFormat="1" applyFont="1" applyFill="1" applyBorder="1" applyAlignment="1">
      <alignment/>
    </xf>
    <xf numFmtId="0" fontId="11" fillId="0" borderId="0" xfId="0" applyFont="1" applyFill="1" applyBorder="1" applyAlignment="1">
      <alignment/>
    </xf>
    <xf numFmtId="0" fontId="17" fillId="0" borderId="0" xfId="0" applyFont="1" applyFill="1" applyBorder="1" applyAlignment="1">
      <alignment/>
    </xf>
    <xf numFmtId="14" fontId="11" fillId="0" borderId="0" xfId="0" applyNumberFormat="1" applyFont="1" applyFill="1" applyBorder="1" applyAlignment="1">
      <alignment/>
    </xf>
    <xf numFmtId="0" fontId="11" fillId="0" borderId="31" xfId="0" applyFont="1" applyFill="1" applyBorder="1" applyAlignment="1">
      <alignment/>
    </xf>
    <xf numFmtId="0" fontId="18" fillId="33" borderId="0" xfId="0" applyFont="1" applyFill="1" applyBorder="1" applyAlignment="1">
      <alignment/>
    </xf>
    <xf numFmtId="43" fontId="11" fillId="33" borderId="0" xfId="42" applyFont="1" applyFill="1" applyBorder="1" applyAlignment="1">
      <alignment/>
    </xf>
    <xf numFmtId="187" fontId="11" fillId="33" borderId="0" xfId="0" applyNumberFormat="1" applyFont="1" applyFill="1" applyAlignment="1">
      <alignment/>
    </xf>
    <xf numFmtId="43" fontId="17" fillId="33" borderId="31" xfId="0" applyNumberFormat="1" applyFont="1" applyFill="1" applyBorder="1" applyAlignment="1">
      <alignment/>
    </xf>
    <xf numFmtId="14" fontId="11" fillId="33" borderId="0" xfId="0" applyNumberFormat="1" applyFont="1" applyFill="1" applyAlignment="1">
      <alignment horizontal="center"/>
    </xf>
    <xf numFmtId="0" fontId="20" fillId="33" borderId="31" xfId="0" applyFont="1" applyFill="1" applyBorder="1" applyAlignment="1">
      <alignment/>
    </xf>
    <xf numFmtId="10" fontId="11" fillId="33" borderId="31" xfId="74" applyNumberFormat="1" applyFont="1" applyFill="1" applyBorder="1" applyAlignment="1">
      <alignment/>
    </xf>
    <xf numFmtId="14" fontId="17" fillId="33" borderId="0" xfId="74" applyNumberFormat="1" applyFont="1" applyFill="1" applyAlignment="1">
      <alignment/>
    </xf>
    <xf numFmtId="14" fontId="18" fillId="33" borderId="0" xfId="0" applyNumberFormat="1" applyFont="1" applyFill="1" applyAlignment="1">
      <alignment/>
    </xf>
    <xf numFmtId="0" fontId="17" fillId="33" borderId="0" xfId="0" applyNumberFormat="1" applyFont="1" applyFill="1" applyAlignment="1">
      <alignment/>
    </xf>
    <xf numFmtId="0" fontId="11" fillId="35" borderId="0" xfId="0" applyFont="1" applyFill="1" applyAlignment="1">
      <alignment/>
    </xf>
    <xf numFmtId="14" fontId="11" fillId="35" borderId="0" xfId="0" applyNumberFormat="1" applyFont="1" applyFill="1" applyAlignment="1">
      <alignment/>
    </xf>
    <xf numFmtId="14" fontId="11" fillId="33" borderId="0" xfId="74" applyNumberFormat="1" applyFont="1" applyFill="1" applyAlignment="1">
      <alignment/>
    </xf>
    <xf numFmtId="0" fontId="18" fillId="33" borderId="31" xfId="0" applyFont="1" applyFill="1" applyBorder="1" applyAlignment="1">
      <alignment/>
    </xf>
    <xf numFmtId="14" fontId="14" fillId="33" borderId="0" xfId="0" applyNumberFormat="1" applyFont="1" applyFill="1" applyAlignment="1">
      <alignment/>
    </xf>
    <xf numFmtId="10" fontId="11" fillId="33" borderId="31" xfId="0" applyNumberFormat="1" applyFont="1" applyFill="1" applyBorder="1" applyAlignment="1">
      <alignment/>
    </xf>
    <xf numFmtId="2" fontId="17" fillId="33" borderId="0" xfId="0" applyNumberFormat="1" applyFont="1" applyFill="1" applyAlignment="1">
      <alignment/>
    </xf>
    <xf numFmtId="2" fontId="17" fillId="33" borderId="31" xfId="0" applyNumberFormat="1" applyFont="1" applyFill="1" applyBorder="1" applyAlignment="1">
      <alignment/>
    </xf>
    <xf numFmtId="2" fontId="17" fillId="33" borderId="0" xfId="0" applyNumberFormat="1" applyFont="1" applyFill="1" applyBorder="1" applyAlignment="1">
      <alignment/>
    </xf>
    <xf numFmtId="2" fontId="11" fillId="33" borderId="0" xfId="0" applyNumberFormat="1" applyFont="1" applyFill="1" applyBorder="1" applyAlignment="1">
      <alignment/>
    </xf>
    <xf numFmtId="2" fontId="11" fillId="33" borderId="31" xfId="0" applyNumberFormat="1" applyFont="1" applyFill="1" applyBorder="1" applyAlignment="1">
      <alignment/>
    </xf>
    <xf numFmtId="10" fontId="17" fillId="33" borderId="31" xfId="74" applyNumberFormat="1" applyFont="1" applyFill="1" applyBorder="1" applyAlignment="1">
      <alignment/>
    </xf>
    <xf numFmtId="14" fontId="17" fillId="33" borderId="0" xfId="74" applyNumberFormat="1" applyFont="1" applyFill="1" applyAlignment="1">
      <alignment horizontal="left"/>
    </xf>
    <xf numFmtId="0" fontId="16" fillId="33" borderId="0" xfId="0" applyFont="1" applyFill="1" applyAlignment="1">
      <alignment/>
    </xf>
    <xf numFmtId="10" fontId="17" fillId="33" borderId="0" xfId="0" applyNumberFormat="1" applyFont="1" applyFill="1" applyAlignment="1">
      <alignment/>
    </xf>
    <xf numFmtId="0" fontId="15" fillId="33" borderId="31" xfId="0" applyFont="1" applyFill="1" applyBorder="1" applyAlignment="1">
      <alignment/>
    </xf>
    <xf numFmtId="0" fontId="11" fillId="33" borderId="0" xfId="0" applyFont="1" applyFill="1" applyAlignment="1">
      <alignment horizontal="right"/>
    </xf>
    <xf numFmtId="1" fontId="11" fillId="34" borderId="0" xfId="0" applyNumberFormat="1" applyFont="1" applyFill="1" applyAlignment="1">
      <alignment/>
    </xf>
    <xf numFmtId="0" fontId="11" fillId="33" borderId="0" xfId="0" applyFont="1" applyFill="1" applyAlignment="1">
      <alignment horizontal="left"/>
    </xf>
    <xf numFmtId="182" fontId="2" fillId="33" borderId="0" xfId="0" applyNumberFormat="1" applyFont="1" applyFill="1" applyBorder="1" applyAlignment="1">
      <alignment/>
    </xf>
    <xf numFmtId="182" fontId="2" fillId="33" borderId="0" xfId="42" applyNumberFormat="1" applyFont="1" applyFill="1" applyAlignment="1">
      <alignment/>
    </xf>
    <xf numFmtId="182" fontId="2" fillId="33" borderId="0" xfId="0" applyNumberFormat="1" applyFont="1" applyFill="1" applyAlignment="1">
      <alignment/>
    </xf>
    <xf numFmtId="0" fontId="2" fillId="33" borderId="16" xfId="0" applyFont="1" applyFill="1" applyBorder="1" applyAlignment="1">
      <alignment horizontal="left" vertical="top" wrapText="1" indent="2"/>
    </xf>
    <xf numFmtId="0" fontId="1" fillId="33" borderId="11" xfId="0" applyFont="1" applyFill="1" applyBorder="1" applyAlignment="1">
      <alignment horizontal="right" wrapText="1"/>
    </xf>
    <xf numFmtId="181" fontId="2" fillId="0" borderId="17" xfId="46" applyNumberFormat="1" applyFont="1" applyFill="1" applyBorder="1" applyAlignment="1" applyProtection="1">
      <alignment horizontal="right" vertical="center" wrapText="1"/>
      <protection/>
    </xf>
    <xf numFmtId="2" fontId="2" fillId="33" borderId="0" xfId="0" applyNumberFormat="1" applyFont="1" applyFill="1" applyAlignment="1">
      <alignment/>
    </xf>
    <xf numFmtId="0" fontId="1" fillId="33" borderId="0" xfId="0" applyFont="1" applyFill="1" applyBorder="1" applyAlignment="1">
      <alignment horizontal="left" indent="7"/>
    </xf>
    <xf numFmtId="181" fontId="2" fillId="33" borderId="0" xfId="45" applyNumberFormat="1" applyFont="1" applyFill="1" applyBorder="1" applyAlignment="1" applyProtection="1">
      <alignment vertical="center" wrapText="1"/>
      <protection/>
    </xf>
    <xf numFmtId="0" fontId="2" fillId="33" borderId="0" xfId="67" applyFont="1" applyFill="1" applyBorder="1">
      <alignment/>
      <protection/>
    </xf>
    <xf numFmtId="0" fontId="2" fillId="33" borderId="0" xfId="0" applyFont="1" applyFill="1" applyBorder="1" applyAlignment="1">
      <alignment horizontal="center" vertical="center"/>
    </xf>
    <xf numFmtId="0" fontId="1" fillId="33" borderId="15" xfId="0" applyFont="1" applyFill="1" applyBorder="1" applyAlignment="1">
      <alignment horizontal="center"/>
    </xf>
    <xf numFmtId="0" fontId="2" fillId="0" borderId="17" xfId="0" applyFont="1" applyFill="1" applyBorder="1" applyAlignment="1">
      <alignment horizontal="center"/>
    </xf>
    <xf numFmtId="0" fontId="2" fillId="0" borderId="11" xfId="0" applyFont="1" applyFill="1" applyBorder="1" applyAlignment="1">
      <alignment horizontal="center"/>
    </xf>
    <xf numFmtId="0" fontId="7" fillId="33" borderId="0" xfId="0" applyFont="1" applyFill="1" applyBorder="1" applyAlignment="1">
      <alignment/>
    </xf>
    <xf numFmtId="0" fontId="7" fillId="33" borderId="0" xfId="0" applyFont="1" applyFill="1" applyBorder="1" applyAlignment="1">
      <alignment vertical="top"/>
    </xf>
    <xf numFmtId="43" fontId="1" fillId="33" borderId="25" xfId="48" applyNumberFormat="1" applyFont="1" applyFill="1" applyBorder="1" applyAlignment="1">
      <alignment horizontal="center"/>
    </xf>
    <xf numFmtId="0" fontId="2" fillId="0" borderId="32" xfId="0" applyFont="1" applyFill="1" applyBorder="1" applyAlignment="1">
      <alignment horizontal="center"/>
    </xf>
    <xf numFmtId="181" fontId="2" fillId="33" borderId="0" xfId="67" applyNumberFormat="1" applyFont="1" applyFill="1" applyBorder="1">
      <alignment/>
      <protection/>
    </xf>
    <xf numFmtId="0" fontId="1" fillId="33" borderId="11" xfId="67" applyFont="1" applyFill="1" applyBorder="1" applyAlignment="1">
      <alignment horizontal="center"/>
      <protection/>
    </xf>
    <xf numFmtId="0" fontId="3" fillId="33" borderId="11" xfId="67" applyFont="1" applyFill="1" applyBorder="1" applyAlignment="1">
      <alignment horizontal="left" vertical="center" wrapText="1" indent="1"/>
      <protection/>
    </xf>
    <xf numFmtId="0" fontId="21" fillId="33" borderId="17" xfId="0" applyFont="1" applyFill="1" applyBorder="1" applyAlignment="1">
      <alignment horizontal="left" vertical="top" wrapText="1" indent="1"/>
    </xf>
    <xf numFmtId="0" fontId="21" fillId="33" borderId="11" xfId="0" applyFont="1" applyFill="1" applyBorder="1" applyAlignment="1">
      <alignment/>
    </xf>
    <xf numFmtId="0" fontId="21" fillId="33" borderId="0" xfId="0" applyFont="1" applyFill="1" applyBorder="1" applyAlignment="1">
      <alignment/>
    </xf>
    <xf numFmtId="182" fontId="21" fillId="0" borderId="0" xfId="0" applyNumberFormat="1" applyFont="1" applyFill="1" applyBorder="1" applyAlignment="1">
      <alignment horizontal="left"/>
    </xf>
    <xf numFmtId="0" fontId="21" fillId="33" borderId="0" xfId="0" applyFont="1" applyFill="1" applyBorder="1" applyAlignment="1">
      <alignment horizontal="left" indent="1"/>
    </xf>
    <xf numFmtId="0" fontId="21" fillId="33" borderId="0" xfId="0" applyFont="1" applyFill="1" applyBorder="1" applyAlignment="1">
      <alignment horizontal="left" indent="7"/>
    </xf>
    <xf numFmtId="0" fontId="2" fillId="33" borderId="0" xfId="67" applyFont="1" applyFill="1" applyBorder="1" applyAlignment="1">
      <alignment vertical="center" wrapText="1"/>
      <protection/>
    </xf>
    <xf numFmtId="0" fontId="22" fillId="33" borderId="33" xfId="0" applyFont="1" applyFill="1" applyBorder="1" applyAlignment="1">
      <alignment horizontal="left" vertical="top" wrapText="1" indent="1"/>
    </xf>
    <xf numFmtId="0" fontId="1" fillId="33" borderId="17" xfId="0" applyFont="1" applyFill="1" applyBorder="1" applyAlignment="1">
      <alignment horizontal="center" vertical="top"/>
    </xf>
    <xf numFmtId="0" fontId="1" fillId="33" borderId="17" xfId="0" applyFont="1" applyFill="1" applyBorder="1" applyAlignment="1">
      <alignment horizontal="center"/>
    </xf>
    <xf numFmtId="0" fontId="1" fillId="33" borderId="20" xfId="0" applyFont="1" applyFill="1" applyBorder="1" applyAlignment="1">
      <alignment horizontal="center" vertical="top"/>
    </xf>
    <xf numFmtId="0" fontId="1" fillId="33" borderId="25" xfId="0" applyFont="1" applyFill="1" applyBorder="1" applyAlignment="1">
      <alignment horizontal="center"/>
    </xf>
    <xf numFmtId="0" fontId="2" fillId="33" borderId="11" xfId="0" applyFont="1" applyFill="1" applyBorder="1" applyAlignment="1">
      <alignment horizontal="left"/>
    </xf>
    <xf numFmtId="0" fontId="2" fillId="33" borderId="11" xfId="0" applyFont="1" applyFill="1" applyBorder="1" applyAlignment="1">
      <alignment horizontal="left" indent="3"/>
    </xf>
    <xf numFmtId="0" fontId="3" fillId="33" borderId="11" xfId="67" applyFont="1" applyFill="1" applyBorder="1" applyAlignment="1">
      <alignment horizontal="left" wrapText="1"/>
      <protection/>
    </xf>
    <xf numFmtId="0" fontId="1" fillId="33" borderId="17" xfId="0" applyFont="1" applyFill="1" applyBorder="1" applyAlignment="1">
      <alignment horizontal="left" vertical="top" indent="1"/>
    </xf>
    <xf numFmtId="180" fontId="2" fillId="33" borderId="0" xfId="67" applyNumberFormat="1" applyFont="1" applyFill="1" applyBorder="1">
      <alignment/>
      <protection/>
    </xf>
    <xf numFmtId="171" fontId="2" fillId="33" borderId="0" xfId="67" applyNumberFormat="1" applyFont="1" applyFill="1" applyBorder="1">
      <alignment/>
      <protection/>
    </xf>
    <xf numFmtId="0" fontId="1" fillId="33" borderId="17" xfId="0" applyFont="1" applyFill="1" applyBorder="1" applyAlignment="1">
      <alignment vertical="top"/>
    </xf>
    <xf numFmtId="0" fontId="2" fillId="33" borderId="11" xfId="67" applyFont="1" applyFill="1" applyBorder="1">
      <alignment/>
      <protection/>
    </xf>
    <xf numFmtId="0" fontId="2" fillId="33" borderId="0" xfId="0" applyFont="1" applyFill="1" applyBorder="1" applyAlignment="1">
      <alignment horizontal="left" vertical="center" indent="1"/>
    </xf>
    <xf numFmtId="182" fontId="2" fillId="0" borderId="17" xfId="42" applyNumberFormat="1" applyFont="1" applyFill="1" applyBorder="1" applyAlignment="1">
      <alignment horizontal="right"/>
    </xf>
    <xf numFmtId="182" fontId="2" fillId="0" borderId="17" xfId="50" applyNumberFormat="1" applyFont="1" applyFill="1" applyBorder="1" applyAlignment="1">
      <alignment horizontal="right"/>
    </xf>
    <xf numFmtId="182" fontId="2" fillId="0" borderId="19" xfId="50" applyNumberFormat="1" applyFont="1" applyFill="1" applyBorder="1" applyAlignment="1">
      <alignment horizontal="right"/>
    </xf>
    <xf numFmtId="43" fontId="2" fillId="0" borderId="17" xfId="50" applyNumberFormat="1" applyFont="1" applyFill="1" applyBorder="1" applyAlignment="1">
      <alignment horizontal="right"/>
    </xf>
    <xf numFmtId="0" fontId="2" fillId="33" borderId="16" xfId="67" applyFont="1" applyFill="1" applyBorder="1">
      <alignment/>
      <protection/>
    </xf>
    <xf numFmtId="43" fontId="2" fillId="33" borderId="0" xfId="0" applyNumberFormat="1" applyFont="1" applyFill="1" applyAlignment="1">
      <alignment/>
    </xf>
    <xf numFmtId="0" fontId="2" fillId="33" borderId="11" xfId="67" applyFont="1" applyFill="1" applyBorder="1" applyAlignment="1">
      <alignment vertical="center" wrapText="1"/>
      <protection/>
    </xf>
    <xf numFmtId="0" fontId="24" fillId="0" borderId="0" xfId="0" applyFont="1" applyAlignment="1">
      <alignment/>
    </xf>
    <xf numFmtId="0" fontId="24" fillId="0" borderId="0" xfId="0" applyFont="1" applyAlignment="1">
      <alignment horizontal="right"/>
    </xf>
    <xf numFmtId="1" fontId="24" fillId="0" borderId="0" xfId="0" applyNumberFormat="1" applyFont="1" applyAlignment="1">
      <alignment/>
    </xf>
    <xf numFmtId="188" fontId="24" fillId="0" borderId="0" xfId="0" applyNumberFormat="1" applyFont="1" applyAlignment="1">
      <alignment/>
    </xf>
    <xf numFmtId="182" fontId="24" fillId="0" borderId="0" xfId="0" applyNumberFormat="1" applyFont="1" applyAlignment="1">
      <alignment/>
    </xf>
    <xf numFmtId="181" fontId="11" fillId="33" borderId="20" xfId="0" applyNumberFormat="1" applyFont="1" applyFill="1" applyBorder="1" applyAlignment="1">
      <alignment/>
    </xf>
    <xf numFmtId="181" fontId="2" fillId="0" borderId="15" xfId="46" applyNumberFormat="1" applyFont="1" applyFill="1" applyBorder="1" applyAlignment="1" applyProtection="1">
      <alignment horizontal="right" vertical="center" wrapText="1"/>
      <protection/>
    </xf>
    <xf numFmtId="181" fontId="2" fillId="0" borderId="0" xfId="45" applyNumberFormat="1" applyFont="1" applyFill="1" applyBorder="1" applyAlignment="1" applyProtection="1">
      <alignment horizontal="right" vertical="center" wrapText="1"/>
      <protection/>
    </xf>
    <xf numFmtId="181" fontId="2" fillId="33" borderId="19" xfId="45" applyNumberFormat="1" applyFont="1" applyFill="1" applyBorder="1" applyAlignment="1">
      <alignment horizontal="right" vertical="center" wrapText="1"/>
    </xf>
    <xf numFmtId="182" fontId="2" fillId="0" borderId="19" xfId="42" applyNumberFormat="1" applyFont="1" applyFill="1" applyBorder="1" applyAlignment="1">
      <alignment horizontal="right"/>
    </xf>
    <xf numFmtId="0" fontId="2" fillId="33" borderId="13" xfId="67" applyFont="1" applyFill="1" applyBorder="1">
      <alignment/>
      <protection/>
    </xf>
    <xf numFmtId="0" fontId="1" fillId="33" borderId="13" xfId="67" applyFont="1" applyFill="1" applyBorder="1" applyAlignment="1">
      <alignment vertical="center" wrapText="1"/>
      <protection/>
    </xf>
    <xf numFmtId="0" fontId="2" fillId="33" borderId="11" xfId="67" applyFont="1" applyFill="1" applyBorder="1" applyAlignment="1">
      <alignment horizontal="left" vertical="center" wrapText="1" indent="3"/>
      <protection/>
    </xf>
    <xf numFmtId="49" fontId="2" fillId="33" borderId="11" xfId="67" applyNumberFormat="1" applyFont="1" applyFill="1" applyBorder="1" applyAlignment="1">
      <alignment horizontal="left" vertical="center" wrapText="1" indent="3"/>
      <protection/>
    </xf>
    <xf numFmtId="0" fontId="2" fillId="33" borderId="16" xfId="67" applyFont="1" applyFill="1" applyBorder="1" applyAlignment="1">
      <alignment vertical="center" wrapText="1"/>
      <protection/>
    </xf>
    <xf numFmtId="181" fontId="2" fillId="0" borderId="17" xfId="45" applyNumberFormat="1" applyFont="1" applyFill="1" applyBorder="1" applyAlignment="1" applyProtection="1">
      <alignment horizontal="right" vertical="center" wrapText="1"/>
      <protection/>
    </xf>
    <xf numFmtId="181" fontId="2" fillId="33" borderId="0" xfId="67" applyNumberFormat="1" applyFont="1" applyFill="1">
      <alignment/>
      <protection/>
    </xf>
    <xf numFmtId="0" fontId="1" fillId="33" borderId="11" xfId="67" applyFont="1" applyFill="1" applyBorder="1" applyAlignment="1">
      <alignment vertical="center" wrapText="1"/>
      <protection/>
    </xf>
    <xf numFmtId="0" fontId="2" fillId="33" borderId="11" xfId="67" applyFont="1" applyFill="1" applyBorder="1" applyAlignment="1">
      <alignment horizontal="left" vertical="center" wrapText="1" indent="2"/>
      <protection/>
    </xf>
    <xf numFmtId="43" fontId="2" fillId="33" borderId="0" xfId="42" applyNumberFormat="1" applyFont="1" applyFill="1" applyBorder="1" applyAlignment="1" applyProtection="1">
      <alignment horizontal="left" indent="7"/>
      <protection/>
    </xf>
    <xf numFmtId="181" fontId="2" fillId="33" borderId="0" xfId="45" applyNumberFormat="1" applyFont="1" applyFill="1" applyBorder="1" applyAlignment="1" applyProtection="1">
      <alignment horizontal="center" vertical="center" wrapText="1"/>
      <protection/>
    </xf>
    <xf numFmtId="181" fontId="2" fillId="34" borderId="0" xfId="45" applyNumberFormat="1" applyFont="1" applyFill="1" applyBorder="1" applyAlignment="1" applyProtection="1">
      <alignment vertical="center" wrapText="1"/>
      <protection/>
    </xf>
    <xf numFmtId="181" fontId="2" fillId="0" borderId="0" xfId="45" applyNumberFormat="1" applyFont="1" applyFill="1" applyBorder="1" applyAlignment="1" applyProtection="1">
      <alignment vertical="center" wrapText="1"/>
      <protection/>
    </xf>
    <xf numFmtId="0" fontId="1" fillId="33" borderId="0" xfId="67" applyFont="1" applyFill="1" applyBorder="1" applyAlignment="1">
      <alignment horizontal="center" vertical="top" wrapText="1"/>
      <protection/>
    </xf>
    <xf numFmtId="181" fontId="2" fillId="34" borderId="0" xfId="45" applyNumberFormat="1" applyFont="1" applyFill="1" applyBorder="1" applyAlignment="1" applyProtection="1">
      <alignment horizontal="center" vertical="center" wrapText="1"/>
      <protection/>
    </xf>
    <xf numFmtId="181" fontId="2" fillId="0" borderId="0" xfId="45" applyNumberFormat="1" applyFont="1" applyFill="1" applyBorder="1" applyAlignment="1" applyProtection="1">
      <alignment horizontal="center" vertical="center" wrapText="1"/>
      <protection/>
    </xf>
    <xf numFmtId="2" fontId="2" fillId="33" borderId="0" xfId="67" applyNumberFormat="1" applyFont="1" applyFill="1" applyBorder="1" applyAlignment="1">
      <alignment vertical="center" wrapText="1"/>
      <protection/>
    </xf>
    <xf numFmtId="0" fontId="2" fillId="33" borderId="0" xfId="67" applyFont="1" applyFill="1" applyBorder="1" applyAlignment="1">
      <alignment horizontal="left" vertical="top" wrapText="1" indent="2"/>
      <protection/>
    </xf>
    <xf numFmtId="181" fontId="2" fillId="33" borderId="0" xfId="67" applyNumberFormat="1" applyFont="1" applyFill="1" applyBorder="1" applyAlignment="1">
      <alignment vertical="center" wrapText="1"/>
      <protection/>
    </xf>
    <xf numFmtId="43" fontId="2" fillId="33" borderId="0" xfId="67" applyNumberFormat="1" applyFont="1" applyFill="1" applyBorder="1" applyAlignment="1">
      <alignment vertical="center" wrapText="1"/>
      <protection/>
    </xf>
    <xf numFmtId="180" fontId="2" fillId="33" borderId="0" xfId="67" applyNumberFormat="1" applyFont="1" applyFill="1" applyBorder="1" applyAlignment="1">
      <alignment wrapText="1"/>
      <protection/>
    </xf>
    <xf numFmtId="0" fontId="2" fillId="33" borderId="0" xfId="67" applyFont="1" applyFill="1" applyBorder="1" applyAlignment="1">
      <alignment wrapText="1"/>
      <protection/>
    </xf>
    <xf numFmtId="1" fontId="2" fillId="33" borderId="0" xfId="67" applyNumberFormat="1" applyFont="1" applyFill="1" applyBorder="1" applyAlignment="1">
      <alignment vertical="center" wrapText="1"/>
      <protection/>
    </xf>
    <xf numFmtId="0" fontId="2" fillId="33" borderId="0" xfId="67" applyFont="1" applyFill="1" applyBorder="1" applyAlignment="1">
      <alignment horizontal="left" vertical="center" wrapText="1" indent="3"/>
      <protection/>
    </xf>
    <xf numFmtId="185" fontId="2" fillId="33" borderId="0" xfId="67" applyNumberFormat="1" applyFont="1" applyFill="1" applyBorder="1" applyAlignment="1">
      <alignment vertical="center" wrapText="1"/>
      <protection/>
    </xf>
    <xf numFmtId="14" fontId="2" fillId="33" borderId="0" xfId="0" applyNumberFormat="1" applyFont="1" applyFill="1" applyAlignment="1">
      <alignment/>
    </xf>
    <xf numFmtId="0" fontId="24" fillId="0" borderId="0" xfId="0" applyNumberFormat="1" applyFont="1" applyAlignment="1">
      <alignment/>
    </xf>
    <xf numFmtId="0" fontId="1" fillId="33" borderId="11" xfId="0" applyFont="1" applyFill="1" applyBorder="1" applyAlignment="1">
      <alignment horizontal="left" indent="3"/>
    </xf>
    <xf numFmtId="0" fontId="2" fillId="33" borderId="11" xfId="67" applyFont="1" applyFill="1" applyBorder="1" applyAlignment="1">
      <alignment horizontal="left" vertical="center" wrapText="1" indent="1"/>
      <protection/>
    </xf>
    <xf numFmtId="181" fontId="2" fillId="33" borderId="0" xfId="67" applyNumberFormat="1" applyFont="1" applyFill="1" applyAlignment="1">
      <alignment vertical="center" wrapText="1"/>
      <protection/>
    </xf>
    <xf numFmtId="188" fontId="2" fillId="33" borderId="0" xfId="0" applyNumberFormat="1" applyFont="1" applyFill="1" applyAlignment="1">
      <alignment/>
    </xf>
    <xf numFmtId="0" fontId="1" fillId="0" borderId="0" xfId="0" applyFont="1" applyFill="1" applyBorder="1" applyAlignment="1">
      <alignment/>
    </xf>
    <xf numFmtId="181" fontId="2" fillId="0" borderId="17" xfId="46" applyNumberFormat="1" applyFont="1" applyFill="1" applyBorder="1" applyAlignment="1">
      <alignment horizontal="right" vertical="center" wrapText="1"/>
    </xf>
    <xf numFmtId="43" fontId="2" fillId="0" borderId="17" xfId="42" applyNumberFormat="1" applyFont="1" applyFill="1" applyBorder="1" applyAlignment="1">
      <alignment horizontal="right"/>
    </xf>
    <xf numFmtId="0" fontId="2" fillId="0" borderId="0" xfId="68" applyFont="1" applyFill="1" applyAlignment="1">
      <alignment vertical="center" wrapText="1"/>
      <protection/>
    </xf>
    <xf numFmtId="0" fontId="2" fillId="0" borderId="0" xfId="68" applyFont="1" applyFill="1">
      <alignment/>
      <protection/>
    </xf>
    <xf numFmtId="0" fontId="1" fillId="0" borderId="23" xfId="0" applyFont="1" applyFill="1" applyBorder="1" applyAlignment="1">
      <alignment/>
    </xf>
    <xf numFmtId="0" fontId="1" fillId="0" borderId="25" xfId="0" applyFont="1" applyFill="1" applyBorder="1" applyAlignment="1">
      <alignment horizontal="center"/>
    </xf>
    <xf numFmtId="0" fontId="8" fillId="0" borderId="0" xfId="68" applyFont="1" applyFill="1" applyAlignment="1">
      <alignment vertical="center" wrapText="1"/>
      <protection/>
    </xf>
    <xf numFmtId="0" fontId="8" fillId="0" borderId="0" xfId="68" applyFont="1" applyFill="1">
      <alignment/>
      <protection/>
    </xf>
    <xf numFmtId="0" fontId="8" fillId="0" borderId="16" xfId="68" applyFont="1" applyFill="1" applyBorder="1" applyAlignment="1">
      <alignment vertical="center" wrapText="1"/>
      <protection/>
    </xf>
    <xf numFmtId="182" fontId="1" fillId="0" borderId="17" xfId="50" applyNumberFormat="1" applyFont="1" applyFill="1" applyBorder="1" applyAlignment="1">
      <alignment horizontal="right"/>
    </xf>
    <xf numFmtId="0" fontId="2" fillId="33" borderId="13" xfId="0" applyFont="1" applyFill="1" applyBorder="1" applyAlignment="1">
      <alignment horizontal="center"/>
    </xf>
    <xf numFmtId="49" fontId="2" fillId="33" borderId="16" xfId="0" applyNumberFormat="1" applyFont="1" applyFill="1" applyBorder="1" applyAlignment="1">
      <alignment horizontal="left" indent="2"/>
    </xf>
    <xf numFmtId="0" fontId="3" fillId="33" borderId="17" xfId="0" applyFont="1" applyFill="1" applyBorder="1" applyAlignment="1">
      <alignment horizontal="left" indent="2"/>
    </xf>
    <xf numFmtId="0" fontId="1" fillId="33" borderId="17" xfId="0" applyFont="1" applyFill="1" applyBorder="1" applyAlignment="1">
      <alignment horizontal="left" indent="2"/>
    </xf>
    <xf numFmtId="0" fontId="2" fillId="33" borderId="17" xfId="0" applyFont="1" applyFill="1" applyBorder="1" applyAlignment="1">
      <alignment horizontal="left" indent="3"/>
    </xf>
    <xf numFmtId="0" fontId="1" fillId="33" borderId="17" xfId="0" applyFont="1" applyFill="1" applyBorder="1" applyAlignment="1">
      <alignment horizontal="right"/>
    </xf>
    <xf numFmtId="0" fontId="2" fillId="33" borderId="17" xfId="0" applyFont="1" applyFill="1" applyBorder="1" applyAlignment="1">
      <alignment horizontal="left" indent="2"/>
    </xf>
    <xf numFmtId="0" fontId="1" fillId="33" borderId="20" xfId="0" applyFont="1" applyFill="1" applyBorder="1" applyAlignment="1">
      <alignment horizontal="left" indent="3"/>
    </xf>
    <xf numFmtId="0" fontId="3" fillId="0" borderId="17" xfId="68" applyFont="1" applyFill="1" applyBorder="1" applyAlignment="1">
      <alignment horizontal="left" vertical="center" wrapText="1" indent="1"/>
      <protection/>
    </xf>
    <xf numFmtId="0" fontId="2" fillId="0" borderId="17" xfId="68" applyFont="1" applyFill="1" applyBorder="1" applyAlignment="1">
      <alignment vertical="center" wrapText="1"/>
      <protection/>
    </xf>
    <xf numFmtId="0" fontId="1" fillId="0" borderId="17" xfId="0" applyFont="1" applyFill="1" applyBorder="1" applyAlignment="1">
      <alignment horizontal="left" vertical="top" wrapText="1" indent="2"/>
    </xf>
    <xf numFmtId="0" fontId="2" fillId="0" borderId="17" xfId="0" applyFont="1" applyFill="1" applyBorder="1" applyAlignment="1">
      <alignment horizontal="left" vertical="top" wrapText="1" indent="3"/>
    </xf>
    <xf numFmtId="0" fontId="1" fillId="0" borderId="17" xfId="0" applyFont="1" applyFill="1" applyBorder="1" applyAlignment="1">
      <alignment horizontal="left" vertical="top" wrapText="1" indent="3"/>
    </xf>
    <xf numFmtId="0" fontId="2" fillId="0" borderId="17" xfId="0" applyFont="1" applyFill="1" applyBorder="1" applyAlignment="1">
      <alignment horizontal="left" vertical="top" wrapText="1" indent="4"/>
    </xf>
    <xf numFmtId="0" fontId="2" fillId="0" borderId="17" xfId="0" applyFont="1" applyFill="1" applyBorder="1" applyAlignment="1">
      <alignment horizontal="left" wrapText="1" indent="3"/>
    </xf>
    <xf numFmtId="0" fontId="2" fillId="0" borderId="17" xfId="0" applyFont="1" applyFill="1" applyBorder="1" applyAlignment="1">
      <alignment horizontal="left" wrapText="1" indent="2"/>
    </xf>
    <xf numFmtId="0" fontId="11" fillId="0" borderId="17" xfId="0" applyFont="1" applyFill="1" applyBorder="1" applyAlignment="1">
      <alignment horizontal="left" indent="1"/>
    </xf>
    <xf numFmtId="0" fontId="2" fillId="0" borderId="20" xfId="0" applyFont="1" applyFill="1" applyBorder="1" applyAlignment="1">
      <alignment horizontal="left" vertical="top" wrapText="1" indent="3"/>
    </xf>
    <xf numFmtId="182" fontId="2" fillId="33" borderId="0" xfId="67" applyNumberFormat="1" applyFont="1" applyFill="1" applyAlignment="1">
      <alignment vertical="center" wrapText="1"/>
      <protection/>
    </xf>
    <xf numFmtId="0" fontId="1" fillId="33" borderId="0" xfId="67" applyFont="1" applyFill="1" applyBorder="1" applyAlignment="1">
      <alignment horizontal="center"/>
      <protection/>
    </xf>
    <xf numFmtId="0" fontId="2" fillId="33" borderId="17" xfId="0" applyFont="1" applyFill="1" applyBorder="1" applyAlignment="1">
      <alignment horizontal="left"/>
    </xf>
    <xf numFmtId="0" fontId="3" fillId="33" borderId="17" xfId="67" applyFont="1" applyFill="1" applyBorder="1" applyAlignment="1">
      <alignment horizontal="left" vertical="center" wrapText="1" indent="1"/>
      <protection/>
    </xf>
    <xf numFmtId="0" fontId="1" fillId="33" borderId="17" xfId="0" applyFont="1" applyFill="1" applyBorder="1" applyAlignment="1">
      <alignment horizontal="left"/>
    </xf>
    <xf numFmtId="0" fontId="3" fillId="33" borderId="17" xfId="67" applyFont="1" applyFill="1" applyBorder="1" applyAlignment="1">
      <alignment horizontal="left" wrapText="1"/>
      <protection/>
    </xf>
    <xf numFmtId="0" fontId="1" fillId="33" borderId="17" xfId="0" applyFont="1" applyFill="1" applyBorder="1" applyAlignment="1">
      <alignment horizontal="left" indent="1"/>
    </xf>
    <xf numFmtId="0" fontId="2" fillId="33" borderId="17" xfId="67" applyFont="1" applyFill="1" applyBorder="1" applyAlignment="1">
      <alignment vertical="center" wrapText="1"/>
      <protection/>
    </xf>
    <xf numFmtId="49" fontId="2" fillId="33" borderId="17" xfId="0" applyNumberFormat="1" applyFont="1" applyFill="1" applyBorder="1" applyAlignment="1">
      <alignment horizontal="left" indent="2"/>
    </xf>
    <xf numFmtId="0" fontId="1" fillId="33" borderId="17" xfId="67" applyFont="1" applyFill="1" applyBorder="1" applyAlignment="1">
      <alignment vertical="center" wrapText="1"/>
      <protection/>
    </xf>
    <xf numFmtId="0" fontId="2" fillId="33" borderId="17" xfId="67" applyFont="1" applyFill="1" applyBorder="1" applyAlignment="1">
      <alignment horizontal="left" vertical="center" wrapText="1" indent="2"/>
      <protection/>
    </xf>
    <xf numFmtId="0" fontId="23" fillId="33" borderId="19" xfId="0" applyFont="1" applyFill="1" applyBorder="1" applyAlignment="1">
      <alignment vertical="top" wrapText="1"/>
    </xf>
    <xf numFmtId="182" fontId="2" fillId="33" borderId="17" xfId="0" applyNumberFormat="1" applyFont="1" applyFill="1" applyBorder="1" applyAlignment="1">
      <alignment horizontal="left" indent="2"/>
    </xf>
    <xf numFmtId="182" fontId="2" fillId="33" borderId="17" xfId="42" applyNumberFormat="1" applyFont="1" applyFill="1" applyBorder="1" applyAlignment="1">
      <alignment horizontal="left" indent="2"/>
    </xf>
    <xf numFmtId="182" fontId="2" fillId="33" borderId="17" xfId="67" applyNumberFormat="1" applyFont="1" applyFill="1" applyBorder="1" applyAlignment="1">
      <alignment horizontal="left" vertical="center" wrapText="1" indent="1"/>
      <protection/>
    </xf>
    <xf numFmtId="181" fontId="2" fillId="33" borderId="17" xfId="0" applyNumberFormat="1" applyFont="1" applyFill="1" applyBorder="1" applyAlignment="1">
      <alignment horizontal="left" indent="3"/>
    </xf>
    <xf numFmtId="182" fontId="2" fillId="33" borderId="17" xfId="42" applyNumberFormat="1" applyFont="1" applyFill="1" applyBorder="1" applyAlignment="1">
      <alignment horizontal="left" indent="3"/>
    </xf>
    <xf numFmtId="182" fontId="2" fillId="33" borderId="17" xfId="0" applyNumberFormat="1" applyFont="1" applyFill="1" applyBorder="1" applyAlignment="1">
      <alignment horizontal="left"/>
    </xf>
    <xf numFmtId="182" fontId="2" fillId="33" borderId="17" xfId="67" applyNumberFormat="1" applyFont="1" applyFill="1" applyBorder="1">
      <alignment/>
      <protection/>
    </xf>
    <xf numFmtId="182" fontId="2" fillId="33" borderId="17" xfId="67" applyNumberFormat="1" applyFont="1" applyFill="1" applyBorder="1" applyAlignment="1">
      <alignment vertical="center" wrapText="1"/>
      <protection/>
    </xf>
    <xf numFmtId="43" fontId="2" fillId="33" borderId="17" xfId="42" applyFont="1" applyFill="1" applyBorder="1" applyAlignment="1">
      <alignment vertical="center" wrapText="1"/>
    </xf>
    <xf numFmtId="0" fontId="2" fillId="33" borderId="11" xfId="0" applyFont="1" applyFill="1" applyBorder="1" applyAlignment="1">
      <alignment horizontal="center" vertical="center"/>
    </xf>
    <xf numFmtId="182" fontId="2" fillId="0" borderId="17" xfId="0" applyNumberFormat="1" applyFont="1" applyFill="1" applyBorder="1" applyAlignment="1">
      <alignment horizontal="right"/>
    </xf>
    <xf numFmtId="0" fontId="2" fillId="0" borderId="20" xfId="0" applyFont="1" applyFill="1" applyBorder="1" applyAlignment="1">
      <alignment horizontal="center"/>
    </xf>
    <xf numFmtId="0" fontId="1" fillId="33" borderId="0" xfId="68" applyFont="1" applyFill="1" applyBorder="1" applyAlignment="1">
      <alignment horizontal="center"/>
      <protection/>
    </xf>
    <xf numFmtId="0" fontId="1" fillId="33" borderId="12" xfId="68" applyFont="1" applyFill="1" applyBorder="1" applyAlignment="1">
      <alignment horizontal="left" indent="1"/>
      <protection/>
    </xf>
    <xf numFmtId="0" fontId="8" fillId="33" borderId="14" xfId="68" applyFont="1" applyFill="1" applyBorder="1" applyAlignment="1">
      <alignment vertical="center" wrapText="1"/>
      <protection/>
    </xf>
    <xf numFmtId="182" fontId="2" fillId="33" borderId="11" xfId="0" applyNumberFormat="1" applyFont="1" applyFill="1" applyBorder="1" applyAlignment="1">
      <alignment horizontal="left" vertical="top" wrapText="1" indent="1"/>
    </xf>
    <xf numFmtId="0" fontId="1" fillId="0" borderId="0" xfId="68" applyFont="1" applyFill="1" applyBorder="1" applyAlignment="1">
      <alignment horizontal="center"/>
      <protection/>
    </xf>
    <xf numFmtId="0" fontId="1" fillId="0" borderId="12" xfId="68" applyFont="1" applyFill="1" applyBorder="1" applyAlignment="1">
      <alignment horizontal="left" indent="1"/>
      <protection/>
    </xf>
    <xf numFmtId="182" fontId="2" fillId="0" borderId="17" xfId="42" applyNumberFormat="1" applyFont="1" applyFill="1" applyBorder="1" applyAlignment="1">
      <alignment horizontal="center"/>
    </xf>
    <xf numFmtId="182" fontId="0" fillId="0" borderId="17" xfId="42" applyNumberFormat="1" applyFont="1" applyBorder="1" applyAlignment="1">
      <alignment/>
    </xf>
    <xf numFmtId="181" fontId="2" fillId="33" borderId="0" xfId="45" applyNumberFormat="1" applyFont="1" applyFill="1" applyBorder="1" applyAlignment="1">
      <alignment horizontal="right" vertical="center" wrapText="1"/>
    </xf>
    <xf numFmtId="181" fontId="2" fillId="0" borderId="20" xfId="45" applyNumberFormat="1" applyFont="1" applyFill="1" applyBorder="1" applyAlignment="1" applyProtection="1">
      <alignment horizontal="right" vertical="center" wrapText="1"/>
      <protection/>
    </xf>
    <xf numFmtId="182" fontId="2" fillId="0" borderId="17" xfId="42" applyNumberFormat="1" applyFont="1" applyFill="1" applyBorder="1" applyAlignment="1" applyProtection="1">
      <alignment horizontal="right" vertical="center" wrapText="1"/>
      <protection/>
    </xf>
    <xf numFmtId="181" fontId="2" fillId="0" borderId="10" xfId="45" applyNumberFormat="1" applyFont="1" applyFill="1" applyBorder="1" applyAlignment="1" applyProtection="1">
      <alignment horizontal="right" vertical="center" wrapText="1"/>
      <protection/>
    </xf>
    <xf numFmtId="181" fontId="2" fillId="0" borderId="19" xfId="45" applyNumberFormat="1" applyFont="1" applyFill="1" applyBorder="1" applyAlignment="1" applyProtection="1">
      <alignment horizontal="right" vertical="center" wrapText="1"/>
      <protection/>
    </xf>
    <xf numFmtId="181" fontId="2" fillId="0" borderId="34" xfId="45" applyNumberFormat="1" applyFont="1" applyFill="1" applyBorder="1" applyAlignment="1" applyProtection="1">
      <alignment horizontal="right" vertical="center" wrapText="1"/>
      <protection/>
    </xf>
    <xf numFmtId="181" fontId="2" fillId="33" borderId="19" xfId="45" applyNumberFormat="1" applyFont="1" applyFill="1" applyBorder="1" applyAlignment="1" applyProtection="1">
      <alignment horizontal="right" vertical="center" wrapText="1"/>
      <protection/>
    </xf>
    <xf numFmtId="181" fontId="2" fillId="33" borderId="17" xfId="45" applyNumberFormat="1" applyFont="1" applyFill="1" applyBorder="1" applyAlignment="1">
      <alignment horizontal="right" vertical="center" wrapText="1"/>
    </xf>
    <xf numFmtId="181" fontId="2" fillId="33" borderId="10" xfId="45" applyNumberFormat="1" applyFont="1" applyFill="1" applyBorder="1" applyAlignment="1">
      <alignment horizontal="right" vertical="center" wrapText="1"/>
    </xf>
    <xf numFmtId="181" fontId="2" fillId="33" borderId="17" xfId="45" applyNumberFormat="1" applyFont="1" applyFill="1" applyBorder="1" applyAlignment="1" applyProtection="1">
      <alignment horizontal="right" vertical="center" wrapText="1"/>
      <protection/>
    </xf>
    <xf numFmtId="180" fontId="2" fillId="33" borderId="17" xfId="45" applyNumberFormat="1" applyFont="1" applyFill="1" applyBorder="1" applyAlignment="1" applyProtection="1">
      <alignment horizontal="right" vertical="center" wrapText="1"/>
      <protection/>
    </xf>
    <xf numFmtId="0" fontId="2" fillId="33" borderId="34" xfId="67" applyFont="1" applyFill="1" applyBorder="1">
      <alignment/>
      <protection/>
    </xf>
    <xf numFmtId="0" fontId="1" fillId="33" borderId="34" xfId="67" applyFont="1" applyFill="1" applyBorder="1" applyAlignment="1">
      <alignment vertical="center" wrapText="1"/>
      <protection/>
    </xf>
    <xf numFmtId="182" fontId="2" fillId="33" borderId="17" xfId="67" applyNumberFormat="1" applyFont="1" applyFill="1" applyBorder="1" applyAlignment="1">
      <alignment horizontal="left" vertical="center" wrapText="1" indent="3"/>
      <protection/>
    </xf>
    <xf numFmtId="182" fontId="2" fillId="33" borderId="20" xfId="0" applyNumberFormat="1" applyFont="1" applyFill="1" applyBorder="1" applyAlignment="1">
      <alignment horizontal="left" indent="3"/>
    </xf>
    <xf numFmtId="182" fontId="2" fillId="33" borderId="20" xfId="67" applyNumberFormat="1" applyFont="1" applyFill="1" applyBorder="1">
      <alignment/>
      <protection/>
    </xf>
    <xf numFmtId="182" fontId="2" fillId="33" borderId="17" xfId="42" applyNumberFormat="1" applyFont="1" applyFill="1" applyBorder="1" applyAlignment="1">
      <alignment vertical="center" wrapText="1"/>
    </xf>
    <xf numFmtId="181" fontId="2" fillId="0" borderId="12" xfId="45" applyNumberFormat="1" applyFont="1" applyFill="1" applyBorder="1" applyAlignment="1" applyProtection="1">
      <alignment horizontal="right" vertical="center" wrapText="1"/>
      <protection/>
    </xf>
    <xf numFmtId="182" fontId="2" fillId="0" borderId="20" xfId="50" applyNumberFormat="1" applyFont="1" applyFill="1" applyBorder="1" applyAlignment="1" applyProtection="1">
      <alignment horizontal="right"/>
      <protection/>
    </xf>
    <xf numFmtId="182" fontId="2" fillId="33" borderId="0" xfId="50" applyNumberFormat="1" applyFont="1" applyFill="1" applyBorder="1" applyAlignment="1">
      <alignment/>
    </xf>
    <xf numFmtId="3" fontId="2" fillId="33" borderId="14" xfId="42" applyNumberFormat="1" applyFont="1" applyFill="1" applyBorder="1" applyAlignment="1">
      <alignment/>
    </xf>
    <xf numFmtId="182" fontId="2" fillId="33" borderId="20" xfId="51" applyNumberFormat="1" applyFont="1" applyFill="1" applyBorder="1" applyAlignment="1">
      <alignment horizontal="left" indent="2"/>
    </xf>
    <xf numFmtId="181" fontId="2" fillId="33" borderId="15" xfId="45" applyNumberFormat="1" applyFont="1" applyFill="1" applyBorder="1" applyAlignment="1">
      <alignment horizontal="center"/>
    </xf>
    <xf numFmtId="0" fontId="1" fillId="33" borderId="16" xfId="67" applyFont="1" applyFill="1" applyBorder="1" applyAlignment="1">
      <alignment horizontal="left" indent="1"/>
      <protection/>
    </xf>
    <xf numFmtId="0" fontId="1" fillId="33" borderId="12" xfId="67" applyFont="1" applyFill="1" applyBorder="1" applyAlignment="1">
      <alignment horizontal="left" indent="1"/>
      <protection/>
    </xf>
    <xf numFmtId="181" fontId="2" fillId="33" borderId="25" xfId="45" applyNumberFormat="1" applyFont="1" applyFill="1" applyBorder="1" applyAlignment="1" applyProtection="1">
      <alignment horizontal="right"/>
      <protection/>
    </xf>
    <xf numFmtId="181" fontId="1" fillId="33" borderId="35" xfId="45" applyNumberFormat="1" applyFont="1" applyFill="1" applyBorder="1" applyAlignment="1">
      <alignment horizontal="center" vertical="center" wrapText="1"/>
    </xf>
    <xf numFmtId="181" fontId="1" fillId="33" borderId="36" xfId="45" applyNumberFormat="1" applyFont="1" applyFill="1" applyBorder="1" applyAlignment="1">
      <alignment horizontal="center" vertical="center" wrapText="1"/>
    </xf>
    <xf numFmtId="0" fontId="3" fillId="33" borderId="15" xfId="67" applyFont="1" applyFill="1" applyBorder="1" applyAlignment="1">
      <alignment horizontal="left" vertical="center" wrapText="1" indent="1"/>
      <protection/>
    </xf>
    <xf numFmtId="181" fontId="2" fillId="33" borderId="15" xfId="45" applyNumberFormat="1" applyFont="1" applyFill="1" applyBorder="1" applyAlignment="1" applyProtection="1">
      <alignment horizontal="right" vertical="center" wrapText="1"/>
      <protection/>
    </xf>
    <xf numFmtId="37" fontId="2" fillId="33" borderId="15" xfId="51" applyNumberFormat="1" applyFont="1" applyFill="1" applyBorder="1" applyAlignment="1">
      <alignment horizontal="left" vertical="center" wrapText="1" indent="1"/>
    </xf>
    <xf numFmtId="0" fontId="1" fillId="33" borderId="15" xfId="67" applyFont="1" applyFill="1" applyBorder="1" applyAlignment="1">
      <alignment horizontal="left" vertical="center" wrapText="1" indent="1"/>
      <protection/>
    </xf>
    <xf numFmtId="0" fontId="1" fillId="33" borderId="16" xfId="67" applyFont="1" applyFill="1" applyBorder="1" applyAlignment="1">
      <alignment horizontal="left" vertical="center" wrapText="1" indent="1"/>
      <protection/>
    </xf>
    <xf numFmtId="0" fontId="1" fillId="33" borderId="25" xfId="67" applyFont="1" applyFill="1" applyBorder="1" applyAlignment="1">
      <alignment horizontal="left" vertical="center" wrapText="1" indent="1"/>
      <protection/>
    </xf>
    <xf numFmtId="181" fontId="2" fillId="33" borderId="18" xfId="45" applyNumberFormat="1" applyFont="1" applyFill="1" applyBorder="1" applyAlignment="1" applyProtection="1">
      <alignment horizontal="right" vertical="center" wrapText="1"/>
      <protection/>
    </xf>
    <xf numFmtId="0" fontId="3" fillId="33" borderId="0" xfId="67" applyFont="1" applyFill="1" applyBorder="1" applyAlignment="1">
      <alignment horizontal="left" vertical="center" wrapText="1" indent="1"/>
      <protection/>
    </xf>
    <xf numFmtId="0" fontId="6" fillId="33" borderId="10" xfId="0" applyFont="1" applyFill="1" applyBorder="1" applyAlignment="1">
      <alignment horizontal="center" wrapText="1"/>
    </xf>
    <xf numFmtId="0" fontId="7" fillId="33" borderId="18" xfId="0" applyFont="1" applyFill="1" applyBorder="1" applyAlignment="1">
      <alignment horizontal="left" wrapText="1" indent="1"/>
    </xf>
    <xf numFmtId="0" fontId="8" fillId="33" borderId="0" xfId="67" applyFont="1" applyFill="1" applyAlignment="1">
      <alignment vertical="center" wrapText="1"/>
      <protection/>
    </xf>
    <xf numFmtId="0" fontId="8" fillId="33" borderId="0" xfId="67" applyFont="1" applyFill="1">
      <alignment/>
      <protection/>
    </xf>
    <xf numFmtId="181" fontId="1" fillId="33" borderId="25" xfId="51" applyNumberFormat="1" applyFont="1" applyFill="1" applyBorder="1" applyAlignment="1" applyProtection="1">
      <alignment horizontal="center"/>
      <protection/>
    </xf>
    <xf numFmtId="182" fontId="2" fillId="33" borderId="17" xfId="51" applyNumberFormat="1" applyFont="1" applyFill="1" applyBorder="1" applyAlignment="1">
      <alignment/>
    </xf>
    <xf numFmtId="182" fontId="2" fillId="0" borderId="17" xfId="51" applyNumberFormat="1" applyFont="1" applyFill="1" applyBorder="1" applyAlignment="1">
      <alignment/>
    </xf>
    <xf numFmtId="182" fontId="2" fillId="33" borderId="37" xfId="51" applyNumberFormat="1" applyFont="1" applyFill="1" applyBorder="1" applyAlignment="1">
      <alignment/>
    </xf>
    <xf numFmtId="182" fontId="2" fillId="33" borderId="20" xfId="51" applyNumberFormat="1" applyFont="1" applyFill="1" applyBorder="1" applyAlignment="1">
      <alignment/>
    </xf>
    <xf numFmtId="182" fontId="2" fillId="33" borderId="11" xfId="68" applyNumberFormat="1" applyFont="1" applyFill="1" applyBorder="1" applyAlignment="1">
      <alignment horizontal="left" vertical="center" wrapText="1" indent="2"/>
      <protection/>
    </xf>
    <xf numFmtId="182" fontId="2" fillId="33" borderId="11" xfId="0" applyNumberFormat="1" applyFont="1" applyFill="1" applyBorder="1" applyAlignment="1">
      <alignment horizontal="left" vertical="top" wrapText="1" indent="2"/>
    </xf>
    <xf numFmtId="182" fontId="2" fillId="0" borderId="15" xfId="42" applyNumberFormat="1" applyFont="1" applyFill="1" applyBorder="1" applyAlignment="1" applyProtection="1">
      <alignment horizontal="right" vertical="center" wrapText="1"/>
      <protection/>
    </xf>
    <xf numFmtId="182" fontId="1" fillId="33" borderId="12" xfId="42" applyNumberFormat="1" applyFont="1" applyFill="1" applyBorder="1" applyAlignment="1">
      <alignment horizontal="center"/>
    </xf>
    <xf numFmtId="182" fontId="2" fillId="33" borderId="17" xfId="42" applyNumberFormat="1" applyFont="1" applyFill="1" applyBorder="1" applyAlignment="1">
      <alignment horizontal="center"/>
    </xf>
    <xf numFmtId="182" fontId="2" fillId="33" borderId="20" xfId="42" applyNumberFormat="1" applyFont="1" applyFill="1" applyBorder="1" applyAlignment="1">
      <alignment horizontal="center"/>
    </xf>
    <xf numFmtId="182" fontId="2" fillId="33" borderId="14" xfId="42" applyNumberFormat="1" applyFont="1" applyFill="1" applyBorder="1" applyAlignment="1">
      <alignment/>
    </xf>
    <xf numFmtId="182" fontId="1" fillId="33" borderId="0" xfId="42" applyNumberFormat="1" applyFont="1" applyFill="1" applyBorder="1" applyAlignment="1">
      <alignment horizontal="left"/>
    </xf>
    <xf numFmtId="182" fontId="2" fillId="33" borderId="12" xfId="42" applyNumberFormat="1" applyFont="1" applyFill="1" applyBorder="1" applyAlignment="1">
      <alignment/>
    </xf>
    <xf numFmtId="0" fontId="1" fillId="33" borderId="15" xfId="68" applyFont="1" applyFill="1" applyBorder="1" applyAlignment="1">
      <alignment horizontal="center"/>
      <protection/>
    </xf>
    <xf numFmtId="0" fontId="1" fillId="0" borderId="15" xfId="68" applyFont="1" applyFill="1" applyBorder="1" applyAlignment="1">
      <alignment horizontal="center"/>
      <protection/>
    </xf>
    <xf numFmtId="182" fontId="2" fillId="0" borderId="20" xfId="42" applyNumberFormat="1" applyFont="1" applyFill="1" applyBorder="1" applyAlignment="1">
      <alignment vertical="top" wrapText="1"/>
    </xf>
    <xf numFmtId="181" fontId="1" fillId="33" borderId="17" xfId="0" applyNumberFormat="1" applyFont="1" applyFill="1" applyBorder="1" applyAlignment="1">
      <alignment horizontal="left" indent="3"/>
    </xf>
    <xf numFmtId="0" fontId="2" fillId="33" borderId="15" xfId="0" applyFont="1" applyFill="1" applyBorder="1" applyAlignment="1">
      <alignment horizontal="center"/>
    </xf>
    <xf numFmtId="182" fontId="1" fillId="33" borderId="17" xfId="67" applyNumberFormat="1" applyFont="1" applyFill="1" applyBorder="1" applyAlignment="1">
      <alignment vertical="center" wrapText="1"/>
      <protection/>
    </xf>
    <xf numFmtId="43" fontId="0" fillId="0" borderId="14" xfId="42" applyFont="1" applyBorder="1" applyAlignment="1">
      <alignment/>
    </xf>
    <xf numFmtId="182" fontId="2" fillId="33" borderId="19" xfId="0" applyNumberFormat="1" applyFont="1" applyFill="1" applyBorder="1" applyAlignment="1">
      <alignment horizontal="left"/>
    </xf>
    <xf numFmtId="182" fontId="21" fillId="33" borderId="0" xfId="42" applyNumberFormat="1" applyFont="1" applyFill="1" applyBorder="1" applyAlignment="1">
      <alignment/>
    </xf>
    <xf numFmtId="182" fontId="2" fillId="0" borderId="17" xfId="51" applyNumberFormat="1" applyFont="1" applyFill="1" applyBorder="1" applyAlignment="1">
      <alignment horizontal="right"/>
    </xf>
    <xf numFmtId="182" fontId="2" fillId="0" borderId="19" xfId="51" applyNumberFormat="1" applyFont="1" applyFill="1" applyBorder="1" applyAlignment="1">
      <alignment horizontal="right"/>
    </xf>
    <xf numFmtId="182" fontId="1" fillId="0" borderId="17" xfId="51" applyNumberFormat="1" applyFont="1" applyFill="1" applyBorder="1" applyAlignment="1">
      <alignment horizontal="right"/>
    </xf>
    <xf numFmtId="43" fontId="2" fillId="33" borderId="17" xfId="51" applyFont="1" applyFill="1" applyBorder="1" applyAlignment="1">
      <alignment horizontal="center"/>
    </xf>
    <xf numFmtId="182" fontId="2" fillId="0" borderId="17" xfId="51" applyNumberFormat="1" applyFont="1" applyFill="1" applyBorder="1" applyAlignment="1">
      <alignment horizontal="center"/>
    </xf>
    <xf numFmtId="43" fontId="2" fillId="0" borderId="17" xfId="51" applyNumberFormat="1" applyFont="1" applyFill="1" applyBorder="1" applyAlignment="1">
      <alignment horizontal="right"/>
    </xf>
    <xf numFmtId="182" fontId="2" fillId="33" borderId="17" xfId="51" applyNumberFormat="1" applyFont="1" applyFill="1" applyBorder="1" applyAlignment="1">
      <alignment horizontal="left" indent="2"/>
    </xf>
    <xf numFmtId="182" fontId="2" fillId="33" borderId="17" xfId="51" applyNumberFormat="1" applyFont="1" applyFill="1" applyBorder="1" applyAlignment="1">
      <alignment horizontal="left" indent="3"/>
    </xf>
    <xf numFmtId="182" fontId="2" fillId="33" borderId="17" xfId="51" applyNumberFormat="1" applyFont="1" applyFill="1" applyBorder="1" applyAlignment="1">
      <alignment vertical="center" wrapText="1"/>
    </xf>
    <xf numFmtId="43" fontId="2" fillId="33" borderId="20" xfId="51" applyFont="1" applyFill="1" applyBorder="1" applyAlignment="1">
      <alignment/>
    </xf>
    <xf numFmtId="43" fontId="2" fillId="0" borderId="0" xfId="42" applyFont="1" applyFill="1" applyBorder="1" applyAlignment="1" applyProtection="1">
      <alignment horizontal="right" vertical="center" wrapText="1"/>
      <protection/>
    </xf>
    <xf numFmtId="182" fontId="2" fillId="33" borderId="11" xfId="0" applyNumberFormat="1" applyFont="1" applyFill="1" applyBorder="1" applyAlignment="1">
      <alignment horizontal="left" indent="2"/>
    </xf>
    <xf numFmtId="43" fontId="2" fillId="0" borderId="20" xfId="42" applyFont="1" applyFill="1" applyBorder="1" applyAlignment="1" applyProtection="1">
      <alignment horizontal="right"/>
      <protection/>
    </xf>
    <xf numFmtId="182" fontId="0" fillId="0" borderId="17" xfId="51" applyNumberFormat="1" applyFont="1" applyBorder="1" applyAlignment="1">
      <alignment/>
    </xf>
    <xf numFmtId="43" fontId="2" fillId="0" borderId="17" xfId="42" applyFont="1" applyFill="1" applyBorder="1" applyAlignment="1" applyProtection="1">
      <alignment horizontal="right" vertical="center" wrapText="1"/>
      <protection/>
    </xf>
    <xf numFmtId="0" fontId="28" fillId="0" borderId="0" xfId="0" applyFont="1" applyAlignment="1">
      <alignment/>
    </xf>
    <xf numFmtId="0" fontId="24" fillId="0" borderId="22" xfId="0" applyFont="1" applyBorder="1" applyAlignment="1">
      <alignment/>
    </xf>
    <xf numFmtId="0" fontId="24" fillId="0" borderId="0" xfId="0" applyFont="1" applyBorder="1" applyAlignment="1">
      <alignment/>
    </xf>
    <xf numFmtId="0" fontId="24" fillId="0" borderId="23" xfId="0" applyFont="1" applyBorder="1" applyAlignment="1">
      <alignment/>
    </xf>
    <xf numFmtId="0" fontId="26" fillId="0" borderId="22" xfId="0" applyFont="1" applyBorder="1" applyAlignment="1">
      <alignment/>
    </xf>
    <xf numFmtId="0" fontId="24" fillId="0" borderId="22" xfId="0" applyFont="1" applyBorder="1" applyAlignment="1" quotePrefix="1">
      <alignment/>
    </xf>
    <xf numFmtId="0" fontId="24" fillId="0" borderId="38" xfId="0" applyFont="1" applyBorder="1" applyAlignment="1">
      <alignment/>
    </xf>
    <xf numFmtId="0" fontId="24" fillId="0" borderId="12" xfId="0" applyFont="1" applyBorder="1" applyAlignment="1">
      <alignment/>
    </xf>
    <xf numFmtId="0" fontId="24" fillId="0" borderId="27" xfId="0" applyFont="1" applyBorder="1" applyAlignment="1">
      <alignment horizontal="right"/>
    </xf>
    <xf numFmtId="0" fontId="26" fillId="0" borderId="0" xfId="0" applyFont="1" applyBorder="1" applyAlignment="1">
      <alignment/>
    </xf>
    <xf numFmtId="0" fontId="26" fillId="0" borderId="19" xfId="0" applyFont="1" applyBorder="1" applyAlignment="1" quotePrefix="1">
      <alignment horizontal="center"/>
    </xf>
    <xf numFmtId="0" fontId="26" fillId="0" borderId="24" xfId="0" applyFont="1" applyBorder="1" applyAlignment="1" quotePrefix="1">
      <alignment horizontal="center"/>
    </xf>
    <xf numFmtId="0" fontId="26" fillId="0" borderId="19" xfId="0" applyFont="1" applyBorder="1" applyAlignment="1" quotePrefix="1">
      <alignment horizontal="left"/>
    </xf>
    <xf numFmtId="0" fontId="26" fillId="0" borderId="0" xfId="0" applyFont="1" applyBorder="1" applyAlignment="1" quotePrefix="1">
      <alignment horizontal="left"/>
    </xf>
    <xf numFmtId="0" fontId="26" fillId="0" borderId="22" xfId="0" applyFont="1" applyBorder="1" applyAlignment="1">
      <alignment horizontal="right"/>
    </xf>
    <xf numFmtId="0" fontId="26" fillId="0" borderId="19" xfId="0" applyFont="1" applyBorder="1" applyAlignment="1">
      <alignment horizontal="center"/>
    </xf>
    <xf numFmtId="0" fontId="26" fillId="0" borderId="24" xfId="0" applyFont="1" applyBorder="1" applyAlignment="1">
      <alignment horizontal="center"/>
    </xf>
    <xf numFmtId="0" fontId="26" fillId="0" borderId="23" xfId="0" applyFont="1" applyBorder="1" applyAlignment="1">
      <alignment horizontal="center"/>
    </xf>
    <xf numFmtId="0" fontId="26" fillId="0" borderId="0" xfId="0" applyFont="1" applyBorder="1" applyAlignment="1">
      <alignment horizontal="center"/>
    </xf>
    <xf numFmtId="182" fontId="26" fillId="0" borderId="19" xfId="51" applyNumberFormat="1" applyFont="1" applyBorder="1" applyAlignment="1">
      <alignment/>
    </xf>
    <xf numFmtId="182" fontId="26" fillId="0" borderId="24" xfId="51" applyNumberFormat="1" applyFont="1" applyBorder="1" applyAlignment="1">
      <alignment/>
    </xf>
    <xf numFmtId="182" fontId="24" fillId="0" borderId="23" xfId="51" applyNumberFormat="1" applyFont="1" applyBorder="1" applyAlignment="1">
      <alignment/>
    </xf>
    <xf numFmtId="0" fontId="30" fillId="0" borderId="0" xfId="0" applyFont="1" applyBorder="1" applyAlignment="1">
      <alignment/>
    </xf>
    <xf numFmtId="0" fontId="28" fillId="0" borderId="22" xfId="0" applyFont="1" applyBorder="1" applyAlignment="1">
      <alignment/>
    </xf>
    <xf numFmtId="0" fontId="24" fillId="0" borderId="0" xfId="0" applyFont="1" applyBorder="1" applyAlignment="1">
      <alignment horizontal="left" indent="1"/>
    </xf>
    <xf numFmtId="182" fontId="24" fillId="0" borderId="19" xfId="51" applyNumberFormat="1" applyFont="1" applyBorder="1" applyAlignment="1">
      <alignment/>
    </xf>
    <xf numFmtId="0" fontId="28" fillId="0" borderId="0" xfId="0" applyFont="1" applyBorder="1" applyAlignment="1">
      <alignment/>
    </xf>
    <xf numFmtId="182" fontId="24" fillId="0" borderId="24" xfId="51" applyNumberFormat="1" applyFont="1" applyBorder="1" applyAlignment="1">
      <alignment/>
    </xf>
    <xf numFmtId="182" fontId="24" fillId="0" borderId="19" xfId="51" applyNumberFormat="1" applyFont="1" applyBorder="1" applyAlignment="1">
      <alignment horizontal="center"/>
    </xf>
    <xf numFmtId="1" fontId="24" fillId="0" borderId="19" xfId="0" applyNumberFormat="1" applyFont="1" applyBorder="1" applyAlignment="1">
      <alignment/>
    </xf>
    <xf numFmtId="182" fontId="28" fillId="0" borderId="23" xfId="51" applyNumberFormat="1" applyFont="1" applyBorder="1" applyAlignment="1">
      <alignment/>
    </xf>
    <xf numFmtId="182" fontId="24" fillId="0" borderId="24" xfId="51" applyNumberFormat="1" applyFont="1" applyFill="1" applyBorder="1" applyAlignment="1">
      <alignment/>
    </xf>
    <xf numFmtId="0" fontId="24" fillId="0" borderId="0" xfId="0" applyFont="1" applyBorder="1" applyAlignment="1" quotePrefix="1">
      <alignment horizontal="left"/>
    </xf>
    <xf numFmtId="182" fontId="24" fillId="0" borderId="19" xfId="51" applyNumberFormat="1" applyFont="1" applyFill="1" applyBorder="1" applyAlignment="1" quotePrefix="1">
      <alignment horizontal="right"/>
    </xf>
    <xf numFmtId="0" fontId="24" fillId="0" borderId="0" xfId="0" applyFont="1" applyFill="1" applyBorder="1" applyAlignment="1">
      <alignment/>
    </xf>
    <xf numFmtId="182" fontId="24" fillId="0" borderId="24" xfId="51" applyNumberFormat="1" applyFont="1" applyFill="1" applyBorder="1" applyAlignment="1" quotePrefix="1">
      <alignment horizontal="right"/>
    </xf>
    <xf numFmtId="0" fontId="28" fillId="0" borderId="23" xfId="0" applyFont="1" applyBorder="1" applyAlignment="1">
      <alignment/>
    </xf>
    <xf numFmtId="190" fontId="24" fillId="0" borderId="19" xfId="0" applyNumberFormat="1" applyFont="1" applyBorder="1" applyAlignment="1" quotePrefix="1">
      <alignment horizontal="right"/>
    </xf>
    <xf numFmtId="0" fontId="24" fillId="0" borderId="24" xfId="0" applyFont="1" applyBorder="1" applyAlignment="1">
      <alignment horizontal="center"/>
    </xf>
    <xf numFmtId="183" fontId="28" fillId="0" borderId="0" xfId="0" applyNumberFormat="1" applyFont="1" applyAlignment="1">
      <alignment/>
    </xf>
    <xf numFmtId="190" fontId="24" fillId="0" borderId="19" xfId="0" applyNumberFormat="1" applyFont="1" applyBorder="1" applyAlignment="1">
      <alignment horizontal="right"/>
    </xf>
    <xf numFmtId="0" fontId="24" fillId="0" borderId="27" xfId="0" applyFont="1" applyBorder="1" applyAlignment="1">
      <alignment/>
    </xf>
    <xf numFmtId="183" fontId="25" fillId="0" borderId="22" xfId="0" applyNumberFormat="1" applyFont="1" applyBorder="1" applyAlignment="1" applyProtection="1">
      <alignment horizontal="left" indent="1"/>
      <protection/>
    </xf>
    <xf numFmtId="183" fontId="25" fillId="0" borderId="0" xfId="0" applyNumberFormat="1" applyFont="1" applyBorder="1" applyAlignment="1">
      <alignment/>
    </xf>
    <xf numFmtId="2" fontId="26" fillId="0" borderId="0" xfId="0" applyNumberFormat="1" applyFont="1" applyBorder="1" applyAlignment="1">
      <alignment/>
    </xf>
    <xf numFmtId="2" fontId="24" fillId="0" borderId="0" xfId="0" applyNumberFormat="1" applyFont="1" applyBorder="1" applyAlignment="1">
      <alignment/>
    </xf>
    <xf numFmtId="4" fontId="24" fillId="0" borderId="0" xfId="0" applyNumberFormat="1" applyFont="1" applyBorder="1" applyAlignment="1">
      <alignment horizontal="left" vertical="top" indent="5"/>
    </xf>
    <xf numFmtId="183" fontId="24" fillId="0" borderId="0" xfId="0" applyNumberFormat="1" applyFont="1" applyBorder="1" applyAlignment="1">
      <alignment/>
    </xf>
    <xf numFmtId="183" fontId="24" fillId="0" borderId="23" xfId="0" applyNumberFormat="1" applyFont="1" applyBorder="1" applyAlignment="1">
      <alignment/>
    </xf>
    <xf numFmtId="183" fontId="25" fillId="0" borderId="22" xfId="0" applyNumberFormat="1" applyFont="1" applyBorder="1" applyAlignment="1">
      <alignment horizontal="left" indent="1"/>
    </xf>
    <xf numFmtId="2" fontId="26" fillId="0" borderId="23" xfId="0" applyNumberFormat="1" applyFont="1" applyBorder="1" applyAlignment="1">
      <alignment horizontal="center"/>
    </xf>
    <xf numFmtId="2" fontId="24" fillId="0" borderId="23" xfId="0" applyNumberFormat="1" applyFont="1" applyBorder="1" applyAlignment="1">
      <alignment horizontal="center"/>
    </xf>
    <xf numFmtId="183" fontId="25" fillId="0" borderId="22" xfId="0" applyNumberFormat="1" applyFont="1" applyBorder="1" applyAlignment="1" applyProtection="1">
      <alignment horizontal="left"/>
      <protection/>
    </xf>
    <xf numFmtId="0" fontId="24" fillId="0" borderId="28" xfId="0" applyFont="1" applyBorder="1" applyAlignment="1">
      <alignment horizontal="left"/>
    </xf>
    <xf numFmtId="0" fontId="24" fillId="0" borderId="29" xfId="0" applyFont="1" applyBorder="1" applyAlignment="1">
      <alignment/>
    </xf>
    <xf numFmtId="0" fontId="24" fillId="0" borderId="30" xfId="0" applyFont="1" applyBorder="1" applyAlignment="1">
      <alignment/>
    </xf>
    <xf numFmtId="43" fontId="28" fillId="0" borderId="0" xfId="51" applyFont="1" applyAlignment="1">
      <alignment/>
    </xf>
    <xf numFmtId="0" fontId="1" fillId="33" borderId="0" xfId="0" applyFont="1" applyFill="1" applyBorder="1" applyAlignment="1">
      <alignment/>
    </xf>
    <xf numFmtId="0" fontId="2" fillId="33" borderId="15" xfId="0" applyFont="1" applyFill="1" applyBorder="1" applyAlignment="1">
      <alignment/>
    </xf>
    <xf numFmtId="0" fontId="2" fillId="33" borderId="0" xfId="0" applyFont="1" applyFill="1" applyBorder="1" applyAlignment="1">
      <alignment horizontal="left" indent="2"/>
    </xf>
    <xf numFmtId="182" fontId="2" fillId="33" borderId="0" xfId="51" applyNumberFormat="1" applyFont="1" applyFill="1" applyBorder="1" applyAlignment="1">
      <alignment/>
    </xf>
    <xf numFmtId="182" fontId="8" fillId="33" borderId="0" xfId="68" applyNumberFormat="1" applyFont="1" applyFill="1" applyAlignment="1">
      <alignment vertical="center" wrapText="1"/>
      <protection/>
    </xf>
    <xf numFmtId="0" fontId="21" fillId="33" borderId="0" xfId="42" applyNumberFormat="1" applyFont="1" applyFill="1" applyBorder="1" applyAlignment="1">
      <alignment horizontal="left" indent="7"/>
    </xf>
    <xf numFmtId="181" fontId="8" fillId="0" borderId="0" xfId="68" applyNumberFormat="1" applyFont="1" applyFill="1" applyAlignment="1">
      <alignment vertical="center" wrapText="1"/>
      <protection/>
    </xf>
    <xf numFmtId="182" fontId="2" fillId="0" borderId="17" xfId="42" applyNumberFormat="1" applyFont="1" applyFill="1" applyBorder="1" applyAlignment="1">
      <alignment vertical="center" wrapText="1"/>
    </xf>
    <xf numFmtId="43" fontId="2" fillId="33" borderId="0" xfId="42" applyFont="1" applyFill="1" applyBorder="1" applyAlignment="1">
      <alignment horizontal="right" vertical="center" wrapText="1"/>
    </xf>
    <xf numFmtId="0" fontId="29" fillId="0" borderId="17" xfId="0" applyFont="1" applyBorder="1" applyAlignment="1">
      <alignment horizontal="left" indent="1"/>
    </xf>
    <xf numFmtId="0" fontId="28" fillId="0" borderId="17" xfId="0" applyFont="1" applyBorder="1" applyAlignment="1">
      <alignment/>
    </xf>
    <xf numFmtId="0" fontId="28" fillId="0" borderId="15" xfId="0" applyFont="1" applyBorder="1" applyAlignment="1">
      <alignment/>
    </xf>
    <xf numFmtId="0" fontId="24" fillId="0" borderId="17" xfId="0" applyFont="1" applyBorder="1" applyAlignment="1">
      <alignment horizontal="left" indent="2"/>
    </xf>
    <xf numFmtId="43" fontId="24" fillId="0" borderId="17" xfId="42" applyFont="1" applyBorder="1" applyAlignment="1">
      <alignment/>
    </xf>
    <xf numFmtId="0" fontId="26" fillId="0" borderId="17" xfId="0" applyFont="1" applyBorder="1" applyAlignment="1">
      <alignment horizontal="left" indent="2"/>
    </xf>
    <xf numFmtId="0" fontId="24" fillId="0" borderId="17" xfId="0" applyFont="1" applyBorder="1" applyAlignment="1">
      <alignment horizontal="left" indent="3"/>
    </xf>
    <xf numFmtId="43" fontId="24" fillId="0" borderId="17" xfId="42" applyFont="1" applyBorder="1" applyAlignment="1" quotePrefix="1">
      <alignment horizontal="right"/>
    </xf>
    <xf numFmtId="0" fontId="24" fillId="0" borderId="17" xfId="0" applyFont="1" applyBorder="1" applyAlignment="1" quotePrefix="1">
      <alignment horizontal="left" indent="3"/>
    </xf>
    <xf numFmtId="43" fontId="24" fillId="0" borderId="17" xfId="42" applyFont="1" applyFill="1" applyBorder="1" applyAlignment="1">
      <alignment/>
    </xf>
    <xf numFmtId="43" fontId="26" fillId="0" borderId="17" xfId="42" applyFont="1" applyBorder="1" applyAlignment="1">
      <alignment/>
    </xf>
    <xf numFmtId="0" fontId="32" fillId="0" borderId="15" xfId="0" applyFont="1" applyBorder="1" applyAlignment="1">
      <alignment/>
    </xf>
    <xf numFmtId="43" fontId="32" fillId="0" borderId="0" xfId="0" applyNumberFormat="1" applyFont="1" applyAlignment="1">
      <alignment/>
    </xf>
    <xf numFmtId="0" fontId="32" fillId="0" borderId="0" xfId="0" applyFont="1" applyAlignment="1">
      <alignment/>
    </xf>
    <xf numFmtId="0" fontId="24" fillId="0" borderId="17" xfId="0" applyFont="1" applyBorder="1" applyAlignment="1">
      <alignment horizontal="left" indent="1"/>
    </xf>
    <xf numFmtId="43" fontId="26" fillId="0" borderId="17" xfId="42" applyFont="1" applyBorder="1" applyAlignment="1" quotePrefix="1">
      <alignment horizontal="right"/>
    </xf>
    <xf numFmtId="43" fontId="28" fillId="0" borderId="17" xfId="42" applyFont="1" applyBorder="1" applyAlignment="1">
      <alignment/>
    </xf>
    <xf numFmtId="43" fontId="28" fillId="0" borderId="0" xfId="0" applyNumberFormat="1" applyFont="1" applyAlignment="1">
      <alignment/>
    </xf>
    <xf numFmtId="43" fontId="24" fillId="0" borderId="17" xfId="42" applyFont="1" applyBorder="1" applyAlignment="1">
      <alignment horizontal="right"/>
    </xf>
    <xf numFmtId="43" fontId="24" fillId="0" borderId="0" xfId="42" applyFont="1" applyFill="1" applyAlignment="1">
      <alignment/>
    </xf>
    <xf numFmtId="0" fontId="28" fillId="0" borderId="0" xfId="0" applyFont="1" applyFill="1" applyAlignment="1">
      <alignment/>
    </xf>
    <xf numFmtId="189" fontId="32" fillId="0" borderId="20" xfId="0" applyNumberFormat="1" applyFont="1" applyBorder="1" applyAlignment="1">
      <alignment horizontal="left" indent="2"/>
    </xf>
    <xf numFmtId="182" fontId="26" fillId="0" borderId="20" xfId="42" applyNumberFormat="1" applyFont="1" applyFill="1" applyBorder="1" applyAlignment="1">
      <alignment/>
    </xf>
    <xf numFmtId="190" fontId="28" fillId="0" borderId="25" xfId="0" applyNumberFormat="1" applyFont="1" applyBorder="1" applyAlignment="1">
      <alignment/>
    </xf>
    <xf numFmtId="2" fontId="26" fillId="0" borderId="0" xfId="0" applyNumberFormat="1" applyFont="1" applyBorder="1" applyAlignment="1">
      <alignment horizontal="center"/>
    </xf>
    <xf numFmtId="43" fontId="26" fillId="0" borderId="0" xfId="0" applyNumberFormat="1" applyFont="1" applyFill="1" applyAlignment="1">
      <alignment/>
    </xf>
    <xf numFmtId="0" fontId="24" fillId="0" borderId="0" xfId="0" applyFont="1" applyFill="1" applyAlignment="1">
      <alignment/>
    </xf>
    <xf numFmtId="0" fontId="24" fillId="0" borderId="0" xfId="0" applyFont="1" applyBorder="1" applyAlignment="1">
      <alignment horizontal="right"/>
    </xf>
    <xf numFmtId="2" fontId="24" fillId="0" borderId="12" xfId="0" applyNumberFormat="1" applyFont="1" applyBorder="1" applyAlignment="1">
      <alignment horizontal="center"/>
    </xf>
    <xf numFmtId="2" fontId="24" fillId="0" borderId="12" xfId="0" applyNumberFormat="1" applyFont="1" applyBorder="1" applyAlignment="1">
      <alignment/>
    </xf>
    <xf numFmtId="2" fontId="26" fillId="0" borderId="0" xfId="0" applyNumberFormat="1" applyFont="1" applyBorder="1" applyAlignment="1">
      <alignment horizontal="left" indent="3"/>
    </xf>
    <xf numFmtId="2" fontId="24" fillId="0" borderId="0" xfId="0" applyNumberFormat="1" applyFont="1" applyBorder="1" applyAlignment="1">
      <alignment horizontal="left" indent="3"/>
    </xf>
    <xf numFmtId="0" fontId="26" fillId="0" borderId="0" xfId="0" applyFont="1" applyBorder="1" applyAlignment="1">
      <alignment horizontal="left" indent="3"/>
    </xf>
    <xf numFmtId="0" fontId="24" fillId="0" borderId="0" xfId="0" applyFont="1" applyBorder="1" applyAlignment="1">
      <alignment horizontal="left" indent="3"/>
    </xf>
    <xf numFmtId="171" fontId="28" fillId="0" borderId="0" xfId="0" applyNumberFormat="1" applyFont="1" applyAlignment="1">
      <alignment/>
    </xf>
    <xf numFmtId="181" fontId="2" fillId="33" borderId="0" xfId="45" applyNumberFormat="1" applyFont="1" applyFill="1" applyBorder="1" applyAlignment="1">
      <alignment horizontal="left" vertical="center"/>
    </xf>
    <xf numFmtId="43" fontId="2" fillId="33" borderId="0" xfId="67" applyNumberFormat="1" applyFont="1" applyFill="1" applyAlignment="1">
      <alignment vertical="center" wrapText="1"/>
      <protection/>
    </xf>
    <xf numFmtId="182" fontId="2" fillId="0" borderId="17" xfId="67" applyNumberFormat="1" applyFont="1" applyFill="1" applyBorder="1" applyAlignment="1">
      <alignment vertical="center" wrapText="1"/>
      <protection/>
    </xf>
    <xf numFmtId="182" fontId="2" fillId="0" borderId="17" xfId="42" applyNumberFormat="1" applyFont="1" applyFill="1" applyBorder="1" applyAlignment="1">
      <alignment horizontal="left" indent="2"/>
    </xf>
    <xf numFmtId="0" fontId="8" fillId="0" borderId="0" xfId="68" applyFont="1" applyFill="1" applyAlignment="1">
      <alignment vertical="center"/>
      <protection/>
    </xf>
    <xf numFmtId="0" fontId="33" fillId="33" borderId="0" xfId="68" applyFont="1" applyFill="1" applyAlignment="1">
      <alignment vertical="center" wrapText="1"/>
      <protection/>
    </xf>
    <xf numFmtId="181" fontId="33" fillId="33" borderId="0" xfId="68" applyNumberFormat="1" applyFont="1" applyFill="1" applyAlignment="1">
      <alignment vertical="center" wrapText="1"/>
      <protection/>
    </xf>
    <xf numFmtId="182" fontId="2" fillId="0" borderId="17" xfId="0" applyNumberFormat="1" applyFont="1" applyFill="1" applyBorder="1" applyAlignment="1">
      <alignment horizontal="left" indent="2"/>
    </xf>
    <xf numFmtId="182" fontId="2" fillId="0" borderId="20" xfId="0" applyNumberFormat="1" applyFont="1" applyFill="1" applyBorder="1" applyAlignment="1">
      <alignment horizontal="left" indent="3"/>
    </xf>
    <xf numFmtId="0" fontId="2" fillId="0" borderId="11" xfId="0" applyFont="1" applyFill="1" applyBorder="1" applyAlignment="1">
      <alignment horizontal="left" vertical="top" wrapText="1" indent="1"/>
    </xf>
    <xf numFmtId="180" fontId="2" fillId="33" borderId="0" xfId="45" applyNumberFormat="1" applyFont="1" applyFill="1" applyBorder="1" applyAlignment="1">
      <alignment horizontal="right" vertical="center" wrapText="1"/>
    </xf>
    <xf numFmtId="0" fontId="24" fillId="0" borderId="0" xfId="0" applyFont="1" applyAlignment="1">
      <alignment/>
    </xf>
    <xf numFmtId="181" fontId="33" fillId="33" borderId="0" xfId="68" applyNumberFormat="1" applyFont="1" applyFill="1" applyAlignment="1">
      <alignment vertical="center"/>
      <protection/>
    </xf>
    <xf numFmtId="180" fontId="8" fillId="33" borderId="0" xfId="67" applyNumberFormat="1" applyFont="1" applyFill="1" applyAlignment="1">
      <alignment vertical="center" wrapText="1"/>
      <protection/>
    </xf>
    <xf numFmtId="182" fontId="28" fillId="0" borderId="0" xfId="0" applyNumberFormat="1" applyFont="1" applyAlignment="1">
      <alignment/>
    </xf>
    <xf numFmtId="182" fontId="24" fillId="0" borderId="0" xfId="51" applyNumberFormat="1" applyFont="1" applyBorder="1" applyAlignment="1">
      <alignment/>
    </xf>
    <xf numFmtId="188" fontId="32" fillId="0" borderId="29" xfId="0" applyNumberFormat="1" applyFont="1" applyFill="1" applyBorder="1" applyAlignment="1">
      <alignment horizontal="left"/>
    </xf>
    <xf numFmtId="43" fontId="70" fillId="33" borderId="0" xfId="67" applyNumberFormat="1" applyFont="1" applyFill="1" applyAlignment="1">
      <alignment vertical="center" wrapText="1"/>
      <protection/>
    </xf>
    <xf numFmtId="0" fontId="1" fillId="33" borderId="0" xfId="0" applyFont="1" applyFill="1" applyBorder="1" applyAlignment="1">
      <alignment horizontal="left" indent="2"/>
    </xf>
    <xf numFmtId="0" fontId="1" fillId="33" borderId="39" xfId="67" applyFont="1" applyFill="1" applyBorder="1" applyAlignment="1">
      <alignment horizontal="center" vertical="center" wrapText="1"/>
      <protection/>
    </xf>
    <xf numFmtId="0" fontId="1" fillId="33" borderId="40"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40" xfId="0" applyFont="1" applyFill="1" applyBorder="1" applyAlignment="1">
      <alignment horizontal="center" vertical="center" wrapText="1"/>
    </xf>
    <xf numFmtId="182" fontId="2" fillId="33" borderId="17" xfId="0" applyNumberFormat="1" applyFont="1" applyFill="1" applyBorder="1" applyAlignment="1">
      <alignment horizontal="left" vertical="top" wrapText="1" indent="1"/>
    </xf>
    <xf numFmtId="182" fontId="2" fillId="33" borderId="20" xfId="0" applyNumberFormat="1" applyFont="1" applyFill="1" applyBorder="1" applyAlignment="1">
      <alignment horizontal="left" vertical="top" wrapText="1" indent="1"/>
    </xf>
    <xf numFmtId="0" fontId="8" fillId="33" borderId="0" xfId="68" applyFont="1" applyFill="1" applyBorder="1" applyAlignment="1">
      <alignment vertical="center" wrapText="1"/>
      <protection/>
    </xf>
    <xf numFmtId="0" fontId="7" fillId="33" borderId="10" xfId="0" applyFont="1" applyFill="1" applyBorder="1" applyAlignment="1">
      <alignment horizontal="center" vertical="center" wrapText="1"/>
    </xf>
    <xf numFmtId="182" fontId="7" fillId="36" borderId="17" xfId="42" applyNumberFormat="1" applyFont="1" applyFill="1" applyBorder="1" applyAlignment="1">
      <alignment horizontal="center" vertical="top"/>
    </xf>
    <xf numFmtId="182" fontId="2" fillId="36" borderId="0" xfId="42" applyNumberFormat="1" applyFont="1" applyFill="1" applyAlignment="1">
      <alignment/>
    </xf>
    <xf numFmtId="0" fontId="1" fillId="0" borderId="11" xfId="68" applyFont="1" applyFill="1" applyBorder="1" applyAlignment="1">
      <alignment horizontal="center"/>
      <protection/>
    </xf>
    <xf numFmtId="0" fontId="1" fillId="0" borderId="16" xfId="68" applyFont="1" applyFill="1" applyBorder="1" applyAlignment="1">
      <alignment horizontal="left" indent="1"/>
      <protection/>
    </xf>
    <xf numFmtId="0" fontId="1" fillId="0" borderId="25" xfId="0" applyFont="1" applyFill="1" applyBorder="1" applyAlignment="1">
      <alignment horizontal="center" vertical="top" wrapText="1"/>
    </xf>
    <xf numFmtId="0" fontId="6" fillId="33" borderId="15" xfId="0" applyFont="1" applyFill="1" applyBorder="1" applyAlignment="1">
      <alignment horizontal="left"/>
    </xf>
    <xf numFmtId="0" fontId="1" fillId="33" borderId="16" xfId="0" applyFont="1" applyFill="1" applyBorder="1" applyAlignment="1">
      <alignment horizontal="left"/>
    </xf>
    <xf numFmtId="0" fontId="7" fillId="33" borderId="12" xfId="0" applyFont="1" applyFill="1" applyBorder="1" applyAlignment="1">
      <alignment horizontal="center" vertical="top"/>
    </xf>
    <xf numFmtId="0" fontId="7" fillId="33" borderId="12" xfId="0" applyFont="1" applyFill="1" applyBorder="1" applyAlignment="1">
      <alignment/>
    </xf>
    <xf numFmtId="0" fontId="7" fillId="33" borderId="12" xfId="0" applyFont="1" applyFill="1" applyBorder="1" applyAlignment="1">
      <alignment vertical="top"/>
    </xf>
    <xf numFmtId="0" fontId="6" fillId="33" borderId="12" xfId="0" applyFont="1" applyFill="1" applyBorder="1" applyAlignment="1">
      <alignment horizontal="left"/>
    </xf>
    <xf numFmtId="0" fontId="7" fillId="33" borderId="25" xfId="0" applyFont="1" applyFill="1" applyBorder="1" applyAlignment="1">
      <alignment/>
    </xf>
    <xf numFmtId="43" fontId="8" fillId="0" borderId="12" xfId="68" applyNumberFormat="1" applyFont="1" applyFill="1" applyBorder="1" applyAlignment="1">
      <alignment vertical="center" wrapText="1"/>
      <protection/>
    </xf>
    <xf numFmtId="43" fontId="8" fillId="0" borderId="25" xfId="46" applyNumberFormat="1" applyFont="1" applyFill="1" applyBorder="1" applyAlignment="1">
      <alignment horizontal="right" vertical="center" wrapText="1"/>
    </xf>
    <xf numFmtId="0" fontId="1" fillId="33" borderId="39"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0" xfId="0" applyFont="1" applyFill="1" applyBorder="1" applyAlignment="1">
      <alignment/>
    </xf>
    <xf numFmtId="0" fontId="1" fillId="33" borderId="15"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horizontal="center"/>
    </xf>
    <xf numFmtId="43" fontId="2" fillId="0" borderId="34" xfId="50" applyNumberFormat="1" applyFont="1" applyFill="1" applyBorder="1" applyAlignment="1">
      <alignment horizontal="right"/>
    </xf>
    <xf numFmtId="43" fontId="0" fillId="0" borderId="41" xfId="42" applyFont="1" applyBorder="1" applyAlignment="1">
      <alignment/>
    </xf>
    <xf numFmtId="182" fontId="21" fillId="0" borderId="15" xfId="0" applyNumberFormat="1" applyFont="1" applyFill="1" applyBorder="1" applyAlignment="1">
      <alignment horizontal="left"/>
    </xf>
    <xf numFmtId="1" fontId="2" fillId="33" borderId="15" xfId="42" applyNumberFormat="1" applyFont="1" applyFill="1" applyBorder="1" applyAlignment="1" applyProtection="1">
      <alignment horizontal="left" indent="7"/>
      <protection/>
    </xf>
    <xf numFmtId="182" fontId="2" fillId="33" borderId="15" xfId="0" applyNumberFormat="1" applyFont="1" applyFill="1" applyBorder="1" applyAlignment="1">
      <alignment/>
    </xf>
    <xf numFmtId="0" fontId="1" fillId="33" borderId="15" xfId="0" applyFont="1" applyFill="1" applyBorder="1" applyAlignment="1">
      <alignment horizontal="left"/>
    </xf>
    <xf numFmtId="181" fontId="1" fillId="33" borderId="15" xfId="50" applyNumberFormat="1" applyFont="1" applyFill="1" applyBorder="1" applyAlignment="1" applyProtection="1">
      <alignment horizontal="left" vertical="top" wrapText="1" indent="7"/>
      <protection/>
    </xf>
    <xf numFmtId="0" fontId="1" fillId="33" borderId="15" xfId="0" applyFont="1" applyFill="1" applyBorder="1" applyAlignment="1">
      <alignment horizontal="left" indent="7"/>
    </xf>
    <xf numFmtId="0" fontId="1" fillId="33" borderId="25" xfId="0" applyFont="1" applyFill="1" applyBorder="1" applyAlignment="1">
      <alignment horizontal="left" indent="6"/>
    </xf>
    <xf numFmtId="0" fontId="1" fillId="33" borderId="15" xfId="67" applyFont="1" applyFill="1" applyBorder="1" applyAlignment="1">
      <alignment horizontal="center"/>
      <protection/>
    </xf>
    <xf numFmtId="0" fontId="1" fillId="33" borderId="25" xfId="67" applyFont="1" applyFill="1" applyBorder="1" applyAlignment="1">
      <alignment horizontal="left" indent="1"/>
      <protection/>
    </xf>
    <xf numFmtId="0" fontId="1" fillId="33" borderId="14" xfId="67" applyFont="1" applyFill="1" applyBorder="1" applyAlignment="1">
      <alignment/>
      <protection/>
    </xf>
    <xf numFmtId="0" fontId="1" fillId="33" borderId="41" xfId="67" applyFont="1" applyFill="1" applyBorder="1" applyAlignment="1">
      <alignment/>
      <protection/>
    </xf>
    <xf numFmtId="0" fontId="23" fillId="33" borderId="42" xfId="0" applyFont="1" applyFill="1" applyBorder="1" applyAlignment="1">
      <alignment vertical="top" wrapText="1"/>
    </xf>
    <xf numFmtId="0" fontId="2" fillId="33" borderId="0" xfId="0" applyFont="1" applyFill="1" applyBorder="1" applyAlignment="1">
      <alignment horizontal="left"/>
    </xf>
    <xf numFmtId="182" fontId="2" fillId="33" borderId="0" xfId="51" applyNumberFormat="1" applyFont="1" applyFill="1" applyBorder="1" applyAlignment="1">
      <alignment horizontal="left" indent="2"/>
    </xf>
    <xf numFmtId="182" fontId="2" fillId="0" borderId="0" xfId="51" applyNumberFormat="1" applyFont="1" applyFill="1" applyBorder="1" applyAlignment="1" applyProtection="1">
      <alignment horizontal="right" vertical="center" wrapText="1"/>
      <protection/>
    </xf>
    <xf numFmtId="182" fontId="2" fillId="33" borderId="0" xfId="0" applyNumberFormat="1" applyFont="1" applyFill="1" applyBorder="1" applyAlignment="1">
      <alignment horizontal="left" indent="2"/>
    </xf>
    <xf numFmtId="181" fontId="2" fillId="0" borderId="31" xfId="45" applyNumberFormat="1" applyFont="1" applyFill="1" applyBorder="1" applyAlignment="1" applyProtection="1">
      <alignment horizontal="right" vertical="center" wrapText="1"/>
      <protection/>
    </xf>
    <xf numFmtId="182" fontId="2" fillId="33" borderId="0" xfId="67" applyNumberFormat="1" applyFont="1" applyFill="1" applyBorder="1" applyAlignment="1">
      <alignment horizontal="left" vertical="center" wrapText="1" indent="1"/>
      <protection/>
    </xf>
    <xf numFmtId="181" fontId="2" fillId="33" borderId="0" xfId="0" applyNumberFormat="1" applyFont="1" applyFill="1" applyBorder="1" applyAlignment="1">
      <alignment horizontal="left" indent="3"/>
    </xf>
    <xf numFmtId="182" fontId="2" fillId="33" borderId="12" xfId="0" applyNumberFormat="1" applyFont="1" applyFill="1" applyBorder="1" applyAlignment="1">
      <alignment horizontal="left" indent="3"/>
    </xf>
    <xf numFmtId="181" fontId="2" fillId="0" borderId="14" xfId="45" applyNumberFormat="1" applyFont="1" applyFill="1" applyBorder="1" applyAlignment="1" applyProtection="1">
      <alignment horizontal="right" vertical="center" wrapText="1"/>
      <protection/>
    </xf>
    <xf numFmtId="182" fontId="0" fillId="0" borderId="12" xfId="51" applyNumberFormat="1" applyFont="1" applyBorder="1" applyAlignment="1">
      <alignment/>
    </xf>
    <xf numFmtId="181" fontId="2" fillId="0" borderId="42" xfId="45" applyNumberFormat="1" applyFont="1" applyFill="1" applyBorder="1" applyAlignment="1" applyProtection="1">
      <alignment horizontal="right" vertical="center" wrapText="1"/>
      <protection/>
    </xf>
    <xf numFmtId="43" fontId="2" fillId="33" borderId="0" xfId="42" applyFont="1" applyFill="1" applyBorder="1" applyAlignment="1">
      <alignment vertical="center" wrapText="1"/>
    </xf>
    <xf numFmtId="182" fontId="2" fillId="33" borderId="0" xfId="67" applyNumberFormat="1" applyFont="1" applyFill="1" applyBorder="1" applyAlignment="1">
      <alignment vertical="center" wrapText="1"/>
      <protection/>
    </xf>
    <xf numFmtId="182" fontId="2" fillId="33" borderId="42" xfId="0" applyNumberFormat="1" applyFont="1" applyFill="1" applyBorder="1" applyAlignment="1">
      <alignment horizontal="left"/>
    </xf>
    <xf numFmtId="181" fontId="1" fillId="33" borderId="0" xfId="0" applyNumberFormat="1" applyFont="1" applyFill="1" applyBorder="1" applyAlignment="1">
      <alignment horizontal="left" indent="3"/>
    </xf>
    <xf numFmtId="0" fontId="3" fillId="33" borderId="0" xfId="67" applyFont="1" applyFill="1" applyBorder="1" applyAlignment="1">
      <alignment horizontal="left" wrapText="1"/>
      <protection/>
    </xf>
    <xf numFmtId="182" fontId="2" fillId="33" borderId="0" xfId="51" applyNumberFormat="1" applyFont="1" applyFill="1" applyBorder="1" applyAlignment="1">
      <alignment horizontal="left" indent="3"/>
    </xf>
    <xf numFmtId="181" fontId="2" fillId="33" borderId="42" xfId="45" applyNumberFormat="1" applyFont="1" applyFill="1" applyBorder="1" applyAlignment="1" applyProtection="1">
      <alignment horizontal="right" vertical="center" wrapText="1"/>
      <protection/>
    </xf>
    <xf numFmtId="49" fontId="2" fillId="33" borderId="0" xfId="0" applyNumberFormat="1" applyFont="1" applyFill="1" applyBorder="1" applyAlignment="1">
      <alignment horizontal="left" indent="2"/>
    </xf>
    <xf numFmtId="0" fontId="1" fillId="33" borderId="0" xfId="67" applyFont="1" applyFill="1" applyBorder="1" applyAlignment="1">
      <alignment vertical="center" wrapText="1"/>
      <protection/>
    </xf>
    <xf numFmtId="182" fontId="2" fillId="33" borderId="0" xfId="67" applyNumberFormat="1" applyFont="1" applyFill="1" applyBorder="1">
      <alignment/>
      <protection/>
    </xf>
    <xf numFmtId="182" fontId="2" fillId="33" borderId="0" xfId="51" applyNumberFormat="1" applyFont="1" applyFill="1" applyBorder="1" applyAlignment="1">
      <alignment vertical="center" wrapText="1"/>
    </xf>
    <xf numFmtId="43" fontId="2" fillId="33" borderId="0" xfId="51" applyFont="1" applyFill="1" applyBorder="1" applyAlignment="1">
      <alignment vertical="center" wrapText="1"/>
    </xf>
    <xf numFmtId="181" fontId="2" fillId="33" borderId="31" xfId="45" applyNumberFormat="1" applyFont="1" applyFill="1" applyBorder="1" applyAlignment="1">
      <alignment horizontal="right" vertical="center" wrapText="1"/>
    </xf>
    <xf numFmtId="180" fontId="2" fillId="33" borderId="0" xfId="45" applyNumberFormat="1" applyFont="1" applyFill="1" applyBorder="1" applyAlignment="1" applyProtection="1">
      <alignment horizontal="right" vertical="center" wrapText="1"/>
      <protection/>
    </xf>
    <xf numFmtId="0" fontId="2" fillId="33" borderId="0" xfId="67" applyFont="1" applyFill="1" applyBorder="1" applyAlignment="1">
      <alignment horizontal="left" vertical="center" wrapText="1" indent="2"/>
      <protection/>
    </xf>
    <xf numFmtId="0" fontId="2" fillId="33" borderId="14" xfId="67" applyFont="1" applyFill="1" applyBorder="1">
      <alignment/>
      <protection/>
    </xf>
    <xf numFmtId="182" fontId="2" fillId="33" borderId="12" xfId="67" applyNumberFormat="1" applyFont="1" applyFill="1" applyBorder="1">
      <alignment/>
      <protection/>
    </xf>
    <xf numFmtId="182" fontId="2" fillId="0" borderId="0" xfId="51" applyNumberFormat="1" applyFont="1" applyFill="1" applyBorder="1" applyAlignment="1">
      <alignment horizontal="right"/>
    </xf>
    <xf numFmtId="43" fontId="2" fillId="33" borderId="12" xfId="51" applyFont="1" applyFill="1" applyBorder="1" applyAlignment="1">
      <alignment/>
    </xf>
    <xf numFmtId="182" fontId="2" fillId="0" borderId="42" xfId="51" applyNumberFormat="1" applyFont="1" applyFill="1" applyBorder="1" applyAlignment="1">
      <alignment horizontal="right"/>
    </xf>
    <xf numFmtId="0" fontId="1" fillId="33" borderId="14" xfId="67" applyFont="1" applyFill="1" applyBorder="1" applyAlignment="1">
      <alignment vertical="center" wrapText="1"/>
      <protection/>
    </xf>
    <xf numFmtId="182" fontId="2" fillId="33" borderId="0" xfId="67" applyNumberFormat="1" applyFont="1" applyFill="1" applyBorder="1" applyAlignment="1">
      <alignment horizontal="left" vertical="center" wrapText="1" indent="3"/>
      <protection/>
    </xf>
    <xf numFmtId="181" fontId="2" fillId="33" borderId="42" xfId="45" applyNumberFormat="1" applyFont="1" applyFill="1" applyBorder="1" applyAlignment="1">
      <alignment horizontal="right" vertical="center" wrapText="1"/>
    </xf>
    <xf numFmtId="181" fontId="2" fillId="0" borderId="34" xfId="45" applyNumberFormat="1" applyFont="1" applyFill="1" applyBorder="1" applyAlignment="1" applyProtection="1">
      <alignment vertical="center" wrapText="1"/>
      <protection/>
    </xf>
    <xf numFmtId="181" fontId="2" fillId="0" borderId="17" xfId="45" applyNumberFormat="1" applyFont="1" applyFill="1" applyBorder="1" applyAlignment="1" applyProtection="1">
      <alignment vertical="center" wrapText="1"/>
      <protection/>
    </xf>
    <xf numFmtId="182" fontId="2" fillId="0" borderId="34" xfId="42" applyNumberFormat="1" applyFont="1" applyFill="1" applyBorder="1" applyAlignment="1">
      <alignment horizontal="right"/>
    </xf>
    <xf numFmtId="182" fontId="2" fillId="0" borderId="20" xfId="42" applyNumberFormat="1" applyFont="1" applyFill="1" applyBorder="1" applyAlignment="1">
      <alignment horizontal="right"/>
    </xf>
    <xf numFmtId="0" fontId="23" fillId="33" borderId="19" xfId="0" applyFont="1" applyFill="1" applyBorder="1" applyAlignment="1">
      <alignment horizontal="center" vertical="center" wrapText="1"/>
    </xf>
    <xf numFmtId="0" fontId="2" fillId="36" borderId="11" xfId="67" applyFont="1" applyFill="1" applyBorder="1" applyAlignment="1">
      <alignment vertical="center" wrapText="1"/>
      <protection/>
    </xf>
    <xf numFmtId="0" fontId="2" fillId="36" borderId="11" xfId="67" applyFont="1" applyFill="1" applyBorder="1">
      <alignment/>
      <protection/>
    </xf>
    <xf numFmtId="0" fontId="2" fillId="36" borderId="11" xfId="0" applyFont="1" applyFill="1" applyBorder="1" applyAlignment="1">
      <alignment horizontal="left" indent="3"/>
    </xf>
    <xf numFmtId="0" fontId="2" fillId="33" borderId="16" xfId="67" applyFont="1" applyFill="1" applyBorder="1" applyAlignment="1">
      <alignment horizontal="left" vertical="center" wrapText="1" indent="2"/>
      <protection/>
    </xf>
    <xf numFmtId="0" fontId="2" fillId="33" borderId="15" xfId="42" applyNumberFormat="1" applyFont="1" applyFill="1" applyBorder="1" applyAlignment="1" applyProtection="1">
      <alignment horizontal="left" indent="7"/>
      <protection/>
    </xf>
    <xf numFmtId="182" fontId="2" fillId="33" borderId="41" xfId="42" applyNumberFormat="1" applyFont="1" applyFill="1" applyBorder="1" applyAlignment="1">
      <alignment/>
    </xf>
    <xf numFmtId="182" fontId="2" fillId="33" borderId="15" xfId="42" applyNumberFormat="1" applyFont="1" applyFill="1" applyBorder="1" applyAlignment="1">
      <alignment/>
    </xf>
    <xf numFmtId="182" fontId="1" fillId="33" borderId="15" xfId="42" applyNumberFormat="1" applyFont="1" applyFill="1" applyBorder="1" applyAlignment="1">
      <alignment horizontal="left"/>
    </xf>
    <xf numFmtId="182" fontId="2" fillId="33" borderId="25" xfId="42" applyNumberFormat="1" applyFont="1" applyFill="1" applyBorder="1" applyAlignment="1">
      <alignment/>
    </xf>
    <xf numFmtId="0" fontId="8" fillId="33" borderId="11" xfId="68" applyFont="1" applyFill="1" applyBorder="1" applyAlignment="1">
      <alignment vertical="center" wrapText="1"/>
      <protection/>
    </xf>
    <xf numFmtId="0" fontId="1" fillId="0" borderId="20" xfId="68" applyFont="1" applyFill="1" applyBorder="1" applyAlignment="1">
      <alignment horizontal="center" vertical="center" wrapText="1"/>
      <protection/>
    </xf>
    <xf numFmtId="0" fontId="1" fillId="0" borderId="19" xfId="0" applyFont="1" applyFill="1" applyBorder="1" applyAlignment="1">
      <alignment horizontal="center" vertical="top" wrapText="1"/>
    </xf>
    <xf numFmtId="182" fontId="2" fillId="0" borderId="17" xfId="0" applyNumberFormat="1" applyFont="1" applyFill="1" applyBorder="1" applyAlignment="1">
      <alignment horizontal="left" vertical="top" wrapText="1" indent="3"/>
    </xf>
    <xf numFmtId="43" fontId="2" fillId="0" borderId="17" xfId="0" applyNumberFormat="1" applyFont="1" applyFill="1" applyBorder="1" applyAlignment="1">
      <alignment horizontal="left" vertical="top" wrapText="1" indent="3"/>
    </xf>
    <xf numFmtId="182" fontId="2" fillId="0" borderId="20" xfId="46" applyNumberFormat="1" applyFont="1" applyFill="1" applyBorder="1" applyAlignment="1" applyProtection="1">
      <alignment horizontal="right" vertical="center" wrapText="1"/>
      <protection/>
    </xf>
    <xf numFmtId="182" fontId="2" fillId="0" borderId="17" xfId="46" applyNumberFormat="1" applyFont="1" applyFill="1" applyBorder="1" applyAlignment="1" applyProtection="1">
      <alignment horizontal="right" vertical="center" wrapText="1"/>
      <protection/>
    </xf>
    <xf numFmtId="182" fontId="1" fillId="33" borderId="11" xfId="0" applyNumberFormat="1" applyFont="1" applyFill="1" applyBorder="1" applyAlignment="1">
      <alignment horizontal="left" indent="2"/>
    </xf>
    <xf numFmtId="182" fontId="2" fillId="0" borderId="10" xfId="46" applyNumberFormat="1" applyFont="1" applyFill="1" applyBorder="1" applyAlignment="1" applyProtection="1">
      <alignment horizontal="right" vertical="center" wrapText="1"/>
      <protection/>
    </xf>
    <xf numFmtId="182" fontId="2" fillId="0" borderId="43" xfId="46" applyNumberFormat="1" applyFont="1" applyFill="1" applyBorder="1" applyAlignment="1" applyProtection="1">
      <alignment horizontal="right" vertical="center" wrapText="1"/>
      <protection/>
    </xf>
    <xf numFmtId="182" fontId="2" fillId="0" borderId="44" xfId="46" applyNumberFormat="1" applyFont="1" applyFill="1" applyBorder="1" applyAlignment="1" applyProtection="1">
      <alignment horizontal="right" vertical="center" wrapText="1"/>
      <protection/>
    </xf>
    <xf numFmtId="182" fontId="3" fillId="33" borderId="11" xfId="68" applyNumberFormat="1" applyFont="1" applyFill="1" applyBorder="1" applyAlignment="1">
      <alignment horizontal="left" vertical="center" wrapText="1" indent="1"/>
      <protection/>
    </xf>
    <xf numFmtId="182" fontId="1" fillId="0" borderId="17" xfId="46" applyNumberFormat="1" applyFont="1" applyFill="1" applyBorder="1" applyAlignment="1" applyProtection="1">
      <alignment horizontal="right" vertical="center" wrapText="1"/>
      <protection/>
    </xf>
    <xf numFmtId="182" fontId="3" fillId="33" borderId="11" xfId="0" applyNumberFormat="1" applyFont="1" applyFill="1" applyBorder="1" applyAlignment="1">
      <alignment horizontal="left" indent="2"/>
    </xf>
    <xf numFmtId="182" fontId="2" fillId="33" borderId="11" xfId="0" applyNumberFormat="1" applyFont="1" applyFill="1" applyBorder="1" applyAlignment="1">
      <alignment horizontal="left" vertical="top" wrapText="1" indent="3"/>
    </xf>
    <xf numFmtId="182" fontId="3" fillId="33" borderId="17" xfId="68" applyNumberFormat="1" applyFont="1" applyFill="1" applyBorder="1" applyAlignment="1">
      <alignment horizontal="left" vertical="center" wrapText="1" indent="1"/>
      <protection/>
    </xf>
    <xf numFmtId="182" fontId="8" fillId="33" borderId="17" xfId="68" applyNumberFormat="1" applyFont="1" applyFill="1" applyBorder="1" applyAlignment="1">
      <alignment vertical="center" wrapText="1"/>
      <protection/>
    </xf>
    <xf numFmtId="182" fontId="2" fillId="33" borderId="17" xfId="42" applyNumberFormat="1" applyFont="1" applyFill="1" applyBorder="1" applyAlignment="1">
      <alignment horizontal="left" vertical="top" wrapText="1" indent="1"/>
    </xf>
    <xf numFmtId="182" fontId="2" fillId="0" borderId="45" xfId="46" applyNumberFormat="1" applyFont="1" applyFill="1" applyBorder="1" applyAlignment="1" applyProtection="1">
      <alignment horizontal="right" vertical="center" wrapText="1"/>
      <protection/>
    </xf>
    <xf numFmtId="182" fontId="8" fillId="0" borderId="17" xfId="68" applyNumberFormat="1" applyFont="1" applyFill="1" applyBorder="1" applyAlignment="1">
      <alignment horizontal="left" vertical="top" wrapText="1" indent="3"/>
      <protection/>
    </xf>
    <xf numFmtId="182" fontId="2" fillId="0" borderId="19" xfId="46" applyNumberFormat="1" applyFont="1" applyFill="1" applyBorder="1" applyAlignment="1" applyProtection="1">
      <alignment horizontal="right" vertical="center" wrapText="1"/>
      <protection/>
    </xf>
    <xf numFmtId="182" fontId="2" fillId="0" borderId="15" xfId="46" applyNumberFormat="1" applyFont="1" applyFill="1" applyBorder="1" applyAlignment="1" applyProtection="1">
      <alignment horizontal="right" vertical="center" wrapText="1"/>
      <protection/>
    </xf>
    <xf numFmtId="182" fontId="2" fillId="0" borderId="18" xfId="46" applyNumberFormat="1" applyFont="1" applyFill="1" applyBorder="1" applyAlignment="1" applyProtection="1">
      <alignment horizontal="right" vertical="center" wrapText="1"/>
      <protection/>
    </xf>
    <xf numFmtId="182" fontId="3" fillId="0" borderId="17" xfId="68" applyNumberFormat="1" applyFont="1" applyFill="1" applyBorder="1" applyAlignment="1">
      <alignment horizontal="left" vertical="center" wrapText="1" indent="1"/>
      <protection/>
    </xf>
    <xf numFmtId="182" fontId="2" fillId="0" borderId="17" xfId="42" applyNumberFormat="1" applyFont="1" applyFill="1" applyBorder="1" applyAlignment="1">
      <alignment horizontal="left" vertical="top" wrapText="1" indent="3"/>
    </xf>
    <xf numFmtId="182" fontId="2" fillId="0" borderId="46" xfId="46" applyNumberFormat="1" applyFont="1" applyFill="1" applyBorder="1" applyAlignment="1" applyProtection="1">
      <alignment horizontal="right" vertical="center" wrapText="1"/>
      <protection/>
    </xf>
    <xf numFmtId="182" fontId="2" fillId="0" borderId="17" xfId="68" applyNumberFormat="1" applyFont="1" applyFill="1" applyBorder="1" applyAlignment="1">
      <alignment vertical="center" wrapText="1"/>
      <protection/>
    </xf>
    <xf numFmtId="182" fontId="2" fillId="0" borderId="17" xfId="42" applyNumberFormat="1" applyFont="1" applyFill="1" applyBorder="1" applyAlignment="1">
      <alignment horizontal="left" vertical="top" wrapText="1" indent="4"/>
    </xf>
    <xf numFmtId="182" fontId="2" fillId="0" borderId="25" xfId="46" applyNumberFormat="1" applyFont="1" applyFill="1" applyBorder="1" applyAlignment="1" applyProtection="1">
      <alignment horizontal="right" vertical="center" wrapText="1"/>
      <protection/>
    </xf>
    <xf numFmtId="182" fontId="2" fillId="0" borderId="47" xfId="46" applyNumberFormat="1" applyFont="1" applyFill="1" applyBorder="1" applyAlignment="1" applyProtection="1">
      <alignment horizontal="right" vertical="center" wrapText="1"/>
      <protection/>
    </xf>
    <xf numFmtId="182" fontId="2" fillId="0" borderId="48" xfId="46" applyNumberFormat="1" applyFont="1" applyFill="1" applyBorder="1" applyAlignment="1" applyProtection="1">
      <alignment horizontal="right" vertical="center" wrapText="1"/>
      <protection/>
    </xf>
    <xf numFmtId="182" fontId="2" fillId="0" borderId="49" xfId="46" applyNumberFormat="1" applyFont="1" applyFill="1" applyBorder="1" applyAlignment="1" applyProtection="1">
      <alignment horizontal="right" vertical="center" wrapText="1"/>
      <protection/>
    </xf>
    <xf numFmtId="182" fontId="2" fillId="0" borderId="17" xfId="0" applyNumberFormat="1" applyFont="1" applyFill="1" applyBorder="1" applyAlignment="1">
      <alignment horizontal="left" wrapText="1" indent="3"/>
    </xf>
    <xf numFmtId="182" fontId="2" fillId="0" borderId="17" xfId="0" applyNumberFormat="1" applyFont="1" applyFill="1" applyBorder="1" applyAlignment="1">
      <alignment horizontal="left" wrapText="1" indent="2"/>
    </xf>
    <xf numFmtId="182" fontId="11" fillId="0" borderId="17" xfId="0" applyNumberFormat="1" applyFont="1" applyFill="1" applyBorder="1" applyAlignment="1">
      <alignment horizontal="left" indent="1"/>
    </xf>
    <xf numFmtId="182" fontId="2" fillId="0" borderId="19" xfId="45" applyNumberFormat="1" applyFont="1" applyFill="1" applyBorder="1" applyAlignment="1" applyProtection="1">
      <alignment horizontal="right" vertical="center" wrapText="1"/>
      <protection/>
    </xf>
    <xf numFmtId="182" fontId="2" fillId="0" borderId="18" xfId="45" applyNumberFormat="1" applyFont="1" applyFill="1" applyBorder="1" applyAlignment="1" applyProtection="1">
      <alignment horizontal="right" vertical="center" wrapText="1"/>
      <protection/>
    </xf>
    <xf numFmtId="182" fontId="2" fillId="33" borderId="17" xfId="0" applyNumberFormat="1" applyFont="1" applyFill="1" applyBorder="1" applyAlignment="1">
      <alignment horizontal="center"/>
    </xf>
    <xf numFmtId="182" fontId="2" fillId="0" borderId="17" xfId="0" applyNumberFormat="1" applyFont="1" applyFill="1" applyBorder="1" applyAlignment="1">
      <alignment horizontal="center"/>
    </xf>
    <xf numFmtId="0" fontId="24" fillId="0" borderId="11" xfId="0" applyFont="1" applyBorder="1" applyAlignment="1">
      <alignment/>
    </xf>
    <xf numFmtId="0" fontId="24" fillId="0" borderId="15" xfId="0" applyFont="1" applyBorder="1" applyAlignment="1">
      <alignment/>
    </xf>
    <xf numFmtId="0" fontId="24" fillId="0" borderId="39" xfId="0" applyFont="1" applyBorder="1" applyAlignment="1">
      <alignment/>
    </xf>
    <xf numFmtId="188" fontId="26" fillId="0" borderId="19" xfId="0" applyNumberFormat="1" applyFont="1" applyBorder="1" applyAlignment="1">
      <alignment horizontal="center"/>
    </xf>
    <xf numFmtId="0" fontId="24" fillId="0" borderId="18" xfId="0" applyFont="1" applyBorder="1" applyAlignment="1">
      <alignment/>
    </xf>
    <xf numFmtId="0" fontId="26" fillId="0" borderId="15" xfId="0" applyFont="1" applyBorder="1" applyAlignment="1">
      <alignment horizontal="right"/>
    </xf>
    <xf numFmtId="0" fontId="24" fillId="0" borderId="11" xfId="0" applyFont="1" applyBorder="1" applyAlignment="1">
      <alignment horizontal="center"/>
    </xf>
    <xf numFmtId="0" fontId="26" fillId="0" borderId="11" xfId="0" applyFont="1" applyBorder="1" applyAlignment="1">
      <alignment horizontal="center"/>
    </xf>
    <xf numFmtId="0" fontId="28" fillId="0" borderId="16" xfId="0" applyFont="1" applyBorder="1" applyAlignment="1">
      <alignment horizontal="center"/>
    </xf>
    <xf numFmtId="2" fontId="24" fillId="0" borderId="15" xfId="0" applyNumberFormat="1" applyFont="1" applyBorder="1" applyAlignment="1">
      <alignment/>
    </xf>
    <xf numFmtId="2" fontId="26" fillId="0" borderId="15" xfId="0" applyNumberFormat="1" applyFont="1" applyBorder="1" applyAlignment="1">
      <alignment/>
    </xf>
    <xf numFmtId="0" fontId="24" fillId="0" borderId="16" xfId="0" applyFont="1" applyBorder="1" applyAlignment="1">
      <alignment/>
    </xf>
    <xf numFmtId="2" fontId="24" fillId="0" borderId="25" xfId="0" applyNumberFormat="1" applyFont="1" applyBorder="1" applyAlignment="1">
      <alignment/>
    </xf>
    <xf numFmtId="0" fontId="24" fillId="0" borderId="11" xfId="0" applyFont="1" applyBorder="1" applyAlignment="1" quotePrefix="1">
      <alignment horizontal="left"/>
    </xf>
    <xf numFmtId="171" fontId="24" fillId="0" borderId="12" xfId="0" applyNumberFormat="1" applyFont="1" applyBorder="1" applyAlignment="1">
      <alignment/>
    </xf>
    <xf numFmtId="0" fontId="24" fillId="0" borderId="25" xfId="0" applyFont="1" applyBorder="1" applyAlignment="1">
      <alignment/>
    </xf>
    <xf numFmtId="182" fontId="2" fillId="0" borderId="17" xfId="45" applyNumberFormat="1" applyFont="1" applyFill="1" applyBorder="1" applyAlignment="1" applyProtection="1">
      <alignment horizontal="right" vertical="center" wrapText="1"/>
      <protection/>
    </xf>
    <xf numFmtId="182" fontId="2" fillId="0" borderId="20" xfId="45" applyNumberFormat="1" applyFont="1" applyFill="1" applyBorder="1" applyAlignment="1" applyProtection="1">
      <alignment horizontal="right" vertical="center" wrapText="1"/>
      <protection/>
    </xf>
    <xf numFmtId="182" fontId="1" fillId="33" borderId="17" xfId="0" applyNumberFormat="1" applyFont="1" applyFill="1" applyBorder="1" applyAlignment="1">
      <alignment horizontal="left" indent="2"/>
    </xf>
    <xf numFmtId="182" fontId="2" fillId="0" borderId="17" xfId="45" applyNumberFormat="1" applyFont="1" applyFill="1" applyBorder="1" applyAlignment="1" applyProtection="1">
      <alignment vertical="center" wrapText="1"/>
      <protection/>
    </xf>
    <xf numFmtId="182" fontId="2" fillId="0" borderId="17" xfId="45" applyNumberFormat="1" applyFont="1" applyFill="1" applyBorder="1" applyAlignment="1" applyProtection="1">
      <alignment horizontal="center" vertical="center" wrapText="1"/>
      <protection/>
    </xf>
    <xf numFmtId="182" fontId="2" fillId="0" borderId="10" xfId="45" applyNumberFormat="1" applyFont="1" applyFill="1" applyBorder="1" applyAlignment="1" applyProtection="1">
      <alignment horizontal="right" vertical="center" wrapText="1"/>
      <protection/>
    </xf>
    <xf numFmtId="182" fontId="3" fillId="33" borderId="17" xfId="67" applyNumberFormat="1" applyFont="1" applyFill="1" applyBorder="1" applyAlignment="1">
      <alignment horizontal="left" vertical="center" wrapText="1" indent="1"/>
      <protection/>
    </xf>
    <xf numFmtId="182" fontId="1" fillId="33" borderId="17" xfId="0" applyNumberFormat="1" applyFont="1" applyFill="1" applyBorder="1" applyAlignment="1">
      <alignment horizontal="left"/>
    </xf>
    <xf numFmtId="182" fontId="2" fillId="33" borderId="17" xfId="0" applyNumberFormat="1" applyFont="1" applyFill="1" applyBorder="1" applyAlignment="1">
      <alignment horizontal="left" indent="3"/>
    </xf>
    <xf numFmtId="182" fontId="2" fillId="0" borderId="34" xfId="45" applyNumberFormat="1" applyFont="1" applyFill="1" applyBorder="1" applyAlignment="1" applyProtection="1">
      <alignment horizontal="right" vertical="center" wrapText="1"/>
      <protection/>
    </xf>
    <xf numFmtId="182" fontId="1" fillId="33" borderId="17" xfId="0" applyNumberFormat="1" applyFont="1" applyFill="1" applyBorder="1" applyAlignment="1">
      <alignment horizontal="left" indent="3"/>
    </xf>
    <xf numFmtId="182" fontId="3" fillId="33" borderId="17" xfId="67" applyNumberFormat="1" applyFont="1" applyFill="1" applyBorder="1" applyAlignment="1">
      <alignment horizontal="left" wrapText="1"/>
      <protection/>
    </xf>
    <xf numFmtId="182" fontId="2" fillId="0" borderId="17" xfId="45" applyNumberFormat="1" applyFont="1" applyFill="1" applyBorder="1" applyAlignment="1" applyProtection="1">
      <alignment horizontal="center" wrapText="1"/>
      <protection/>
    </xf>
    <xf numFmtId="182" fontId="1" fillId="33" borderId="17" xfId="0" applyNumberFormat="1" applyFont="1" applyFill="1" applyBorder="1" applyAlignment="1">
      <alignment horizontal="left" indent="1"/>
    </xf>
    <xf numFmtId="182" fontId="2" fillId="33" borderId="17" xfId="45" applyNumberFormat="1" applyFont="1" applyFill="1" applyBorder="1" applyAlignment="1">
      <alignment horizontal="right" vertical="center" wrapText="1"/>
    </xf>
    <xf numFmtId="182" fontId="2" fillId="33" borderId="17" xfId="45" applyNumberFormat="1" applyFont="1" applyFill="1" applyBorder="1" applyAlignment="1" applyProtection="1">
      <alignment horizontal="center" vertical="center" wrapText="1"/>
      <protection/>
    </xf>
    <xf numFmtId="182" fontId="2" fillId="33" borderId="19" xfId="45" applyNumberFormat="1" applyFont="1" applyFill="1" applyBorder="1" applyAlignment="1" applyProtection="1">
      <alignment horizontal="right" vertical="center" wrapText="1"/>
      <protection/>
    </xf>
    <xf numFmtId="182" fontId="2" fillId="33" borderId="34" xfId="45" applyNumberFormat="1" applyFont="1" applyFill="1" applyBorder="1" applyAlignment="1" applyProtection="1">
      <alignment horizontal="right" vertical="center" wrapText="1"/>
      <protection/>
    </xf>
    <xf numFmtId="182" fontId="2" fillId="33" borderId="17" xfId="45" applyNumberFormat="1" applyFont="1" applyFill="1" applyBorder="1" applyAlignment="1" applyProtection="1">
      <alignment horizontal="right" vertical="center" wrapText="1"/>
      <protection/>
    </xf>
    <xf numFmtId="182" fontId="2" fillId="0" borderId="17" xfId="45" applyNumberFormat="1" applyFont="1" applyFill="1" applyBorder="1" applyAlignment="1">
      <alignment horizontal="right" vertical="center" wrapText="1"/>
    </xf>
    <xf numFmtId="182" fontId="2" fillId="33" borderId="10" xfId="45" applyNumberFormat="1" applyFont="1" applyFill="1" applyBorder="1" applyAlignment="1">
      <alignment horizontal="right" vertical="center" wrapText="1"/>
    </xf>
    <xf numFmtId="182" fontId="2" fillId="33" borderId="20" xfId="67" applyNumberFormat="1" applyFont="1" applyFill="1" applyBorder="1" applyAlignment="1">
      <alignment horizontal="left" vertical="center" wrapText="1" indent="2"/>
      <protection/>
    </xf>
    <xf numFmtId="182" fontId="2" fillId="33" borderId="20" xfId="45" applyNumberFormat="1" applyFont="1" applyFill="1" applyBorder="1" applyAlignment="1" applyProtection="1">
      <alignment horizontal="right" vertical="center" wrapText="1"/>
      <protection/>
    </xf>
    <xf numFmtId="182" fontId="2" fillId="33" borderId="34" xfId="67" applyNumberFormat="1" applyFont="1" applyFill="1" applyBorder="1">
      <alignment/>
      <protection/>
    </xf>
    <xf numFmtId="182" fontId="2" fillId="33" borderId="20" xfId="42" applyNumberFormat="1" applyFont="1" applyFill="1" applyBorder="1" applyAlignment="1">
      <alignment/>
    </xf>
    <xf numFmtId="182" fontId="1" fillId="33" borderId="34" xfId="67" applyNumberFormat="1" applyFont="1" applyFill="1" applyBorder="1" applyAlignment="1">
      <alignment vertical="center" wrapText="1"/>
      <protection/>
    </xf>
    <xf numFmtId="182" fontId="2" fillId="33" borderId="34" xfId="45" applyNumberFormat="1" applyFont="1" applyFill="1" applyBorder="1" applyAlignment="1">
      <alignment horizontal="right" vertical="center" wrapText="1"/>
    </xf>
    <xf numFmtId="182" fontId="2" fillId="33" borderId="19" xfId="45" applyNumberFormat="1" applyFont="1" applyFill="1" applyBorder="1" applyAlignment="1">
      <alignment horizontal="right" vertical="center" wrapText="1"/>
    </xf>
    <xf numFmtId="43" fontId="2" fillId="33" borderId="17" xfId="51" applyNumberFormat="1" applyFont="1" applyFill="1" applyBorder="1" applyAlignment="1">
      <alignment/>
    </xf>
    <xf numFmtId="0" fontId="7" fillId="33" borderId="34" xfId="0" applyFont="1" applyFill="1" applyBorder="1" applyAlignment="1">
      <alignment horizontal="center" vertical="top"/>
    </xf>
    <xf numFmtId="0" fontId="7" fillId="33" borderId="20" xfId="0" applyFont="1" applyFill="1" applyBorder="1" applyAlignment="1">
      <alignment horizontal="center" vertical="top"/>
    </xf>
    <xf numFmtId="0" fontId="6" fillId="33" borderId="17" xfId="0" applyFont="1" applyFill="1" applyBorder="1" applyAlignment="1">
      <alignment horizontal="center" vertical="top"/>
    </xf>
    <xf numFmtId="0" fontId="6" fillId="33" borderId="16" xfId="0" applyFont="1" applyFill="1" applyBorder="1" applyAlignment="1">
      <alignment horizontal="center" vertical="top"/>
    </xf>
    <xf numFmtId="182" fontId="1" fillId="33" borderId="19" xfId="42" applyNumberFormat="1" applyFont="1" applyFill="1" applyBorder="1" applyAlignment="1">
      <alignment/>
    </xf>
    <xf numFmtId="182" fontId="1" fillId="33" borderId="18" xfId="42" applyNumberFormat="1" applyFont="1" applyFill="1" applyBorder="1" applyAlignment="1">
      <alignment/>
    </xf>
    <xf numFmtId="182" fontId="1" fillId="0" borderId="18" xfId="42" applyNumberFormat="1" applyFont="1" applyFill="1" applyBorder="1" applyAlignment="1">
      <alignment/>
    </xf>
    <xf numFmtId="182" fontId="1" fillId="33" borderId="0" xfId="42" applyNumberFormat="1" applyFont="1" applyFill="1" applyAlignment="1">
      <alignment/>
    </xf>
    <xf numFmtId="43" fontId="2" fillId="33" borderId="17" xfId="45" applyNumberFormat="1" applyFont="1" applyFill="1" applyBorder="1" applyAlignment="1" applyProtection="1">
      <alignment horizontal="right" vertical="center" wrapText="1"/>
      <protection/>
    </xf>
    <xf numFmtId="0" fontId="7" fillId="33" borderId="39" xfId="0" applyFont="1" applyFill="1" applyBorder="1" applyAlignment="1">
      <alignment horizontal="left" wrapText="1" indent="1"/>
    </xf>
    <xf numFmtId="0" fontId="2" fillId="33" borderId="19" xfId="0" applyFont="1" applyFill="1" applyBorder="1" applyAlignment="1">
      <alignment vertical="top"/>
    </xf>
    <xf numFmtId="37" fontId="2" fillId="33" borderId="15" xfId="51" applyNumberFormat="1" applyFont="1" applyFill="1" applyBorder="1" applyAlignment="1">
      <alignment horizontal="right" vertical="center" wrapText="1"/>
    </xf>
    <xf numFmtId="0" fontId="2" fillId="33" borderId="15" xfId="0" applyFont="1" applyFill="1" applyBorder="1" applyAlignment="1">
      <alignment horizontal="right"/>
    </xf>
    <xf numFmtId="37" fontId="2" fillId="33" borderId="15" xfId="0" applyNumberFormat="1" applyFont="1" applyFill="1" applyBorder="1" applyAlignment="1">
      <alignment horizontal="right"/>
    </xf>
    <xf numFmtId="0" fontId="6" fillId="33" borderId="39" xfId="0" applyFont="1" applyFill="1" applyBorder="1" applyAlignment="1">
      <alignment horizontal="left" vertical="top" indent="1"/>
    </xf>
    <xf numFmtId="0" fontId="6" fillId="33" borderId="18" xfId="0" applyFont="1" applyFill="1" applyBorder="1" applyAlignment="1">
      <alignment horizontal="left" vertical="top" indent="1"/>
    </xf>
    <xf numFmtId="181" fontId="7" fillId="33" borderId="18" xfId="0" applyNumberFormat="1" applyFont="1" applyFill="1" applyBorder="1" applyAlignment="1">
      <alignment horizontal="left" wrapText="1" indent="1"/>
    </xf>
    <xf numFmtId="182" fontId="7" fillId="33" borderId="18" xfId="42" applyNumberFormat="1" applyFont="1" applyFill="1" applyBorder="1" applyAlignment="1">
      <alignment horizontal="left" wrapText="1" indent="1"/>
    </xf>
    <xf numFmtId="182" fontId="14" fillId="33" borderId="19" xfId="51" applyNumberFormat="1" applyFont="1" applyFill="1" applyBorder="1" applyAlignment="1">
      <alignment/>
    </xf>
    <xf numFmtId="182" fontId="1" fillId="33" borderId="19" xfId="67" applyNumberFormat="1" applyFont="1" applyFill="1" applyBorder="1">
      <alignment/>
      <protection/>
    </xf>
    <xf numFmtId="0" fontId="2" fillId="33" borderId="19" xfId="67" applyFont="1" applyFill="1" applyBorder="1" applyAlignment="1">
      <alignment vertical="center" wrapText="1"/>
      <protection/>
    </xf>
    <xf numFmtId="182" fontId="2" fillId="33" borderId="19" xfId="42" applyNumberFormat="1" applyFont="1" applyFill="1" applyBorder="1" applyAlignment="1">
      <alignment vertical="top"/>
    </xf>
    <xf numFmtId="182" fontId="14" fillId="33" borderId="19" xfId="42" applyNumberFormat="1" applyFont="1" applyFill="1" applyBorder="1" applyAlignment="1">
      <alignment/>
    </xf>
    <xf numFmtId="182" fontId="2" fillId="33" borderId="0" xfId="42" applyNumberFormat="1" applyFont="1" applyFill="1" applyAlignment="1">
      <alignment vertical="center" wrapText="1"/>
    </xf>
    <xf numFmtId="43" fontId="2" fillId="33" borderId="19" xfId="42" applyFont="1" applyFill="1" applyBorder="1" applyAlignment="1">
      <alignment/>
    </xf>
    <xf numFmtId="182" fontId="2" fillId="33" borderId="11" xfId="42" applyNumberFormat="1" applyFont="1" applyFill="1" applyBorder="1" applyAlignment="1">
      <alignment horizontal="left" indent="2"/>
    </xf>
    <xf numFmtId="182" fontId="2" fillId="0" borderId="11" xfId="46" applyNumberFormat="1" applyFont="1" applyFill="1" applyBorder="1" applyAlignment="1" applyProtection="1">
      <alignment horizontal="right" vertical="center" wrapText="1"/>
      <protection/>
    </xf>
    <xf numFmtId="0" fontId="34" fillId="33" borderId="11" xfId="0" applyFont="1" applyFill="1" applyBorder="1" applyAlignment="1">
      <alignment horizontal="left" wrapText="1" indent="2"/>
    </xf>
    <xf numFmtId="9" fontId="6" fillId="33" borderId="19" xfId="74" applyFont="1" applyFill="1" applyBorder="1" applyAlignment="1">
      <alignment horizontal="right" vertical="top" indent="1"/>
    </xf>
    <xf numFmtId="182" fontId="1" fillId="33" borderId="19" xfId="67" applyNumberFormat="1" applyFont="1" applyFill="1" applyBorder="1" applyAlignment="1">
      <alignment horizontal="right"/>
      <protection/>
    </xf>
    <xf numFmtId="0" fontId="6" fillId="33" borderId="34" xfId="0" applyFont="1" applyFill="1" applyBorder="1" applyAlignment="1">
      <alignment horizontal="center" vertical="top" wrapText="1"/>
    </xf>
    <xf numFmtId="10" fontId="2" fillId="33" borderId="19" xfId="74" applyNumberFormat="1" applyFont="1" applyFill="1" applyBorder="1" applyAlignment="1">
      <alignment vertical="top"/>
    </xf>
    <xf numFmtId="182" fontId="1" fillId="33" borderId="19" xfId="42" applyNumberFormat="1" applyFont="1" applyFill="1" applyBorder="1" applyAlignment="1">
      <alignment vertical="top"/>
    </xf>
    <xf numFmtId="10" fontId="6" fillId="33" borderId="19" xfId="74" applyNumberFormat="1" applyFont="1" applyFill="1" applyBorder="1" applyAlignment="1">
      <alignment horizontal="right" vertical="top" indent="1"/>
    </xf>
    <xf numFmtId="0" fontId="1" fillId="33" borderId="19" xfId="0" applyFont="1" applyFill="1" applyBorder="1" applyAlignment="1">
      <alignment horizontal="right" vertical="top"/>
    </xf>
    <xf numFmtId="182" fontId="1" fillId="33" borderId="19" xfId="0" applyNumberFormat="1" applyFont="1" applyFill="1" applyBorder="1" applyAlignment="1">
      <alignment horizontal="right" vertical="top"/>
    </xf>
    <xf numFmtId="182" fontId="2" fillId="33" borderId="11" xfId="42" applyNumberFormat="1" applyFont="1" applyFill="1" applyBorder="1" applyAlignment="1">
      <alignment horizontal="left" vertical="top" wrapText="1" indent="3"/>
    </xf>
    <xf numFmtId="49" fontId="2" fillId="33" borderId="13" xfId="0" applyNumberFormat="1" applyFont="1" applyFill="1" applyBorder="1" applyAlignment="1">
      <alignment horizontal="left" indent="2"/>
    </xf>
    <xf numFmtId="182" fontId="2" fillId="33" borderId="34" xfId="0" applyNumberFormat="1" applyFont="1" applyFill="1" applyBorder="1" applyAlignment="1">
      <alignment horizontal="left" indent="2"/>
    </xf>
    <xf numFmtId="0" fontId="1" fillId="33" borderId="13" xfId="0" applyFont="1" applyFill="1" applyBorder="1" applyAlignment="1">
      <alignment horizontal="center"/>
    </xf>
    <xf numFmtId="0" fontId="1" fillId="33" borderId="14" xfId="0" applyFont="1" applyFill="1" applyBorder="1" applyAlignment="1">
      <alignment horizontal="center"/>
    </xf>
    <xf numFmtId="0" fontId="1" fillId="33" borderId="41" xfId="0" applyFont="1" applyFill="1" applyBorder="1" applyAlignment="1">
      <alignment horizontal="center"/>
    </xf>
    <xf numFmtId="0" fontId="1" fillId="33" borderId="15" xfId="0" applyFont="1" applyFill="1" applyBorder="1" applyAlignment="1">
      <alignment horizontal="left" indent="2"/>
    </xf>
    <xf numFmtId="0" fontId="0" fillId="0" borderId="18" xfId="0" applyBorder="1" applyAlignment="1">
      <alignment/>
    </xf>
    <xf numFmtId="0" fontId="6" fillId="33" borderId="39" xfId="0" applyFont="1" applyFill="1" applyBorder="1" applyAlignment="1">
      <alignment horizontal="left" wrapText="1" indent="1"/>
    </xf>
    <xf numFmtId="0" fontId="6" fillId="33" borderId="18" xfId="0" applyFont="1" applyFill="1" applyBorder="1" applyAlignment="1">
      <alignment horizontal="left" wrapText="1" indent="1"/>
    </xf>
    <xf numFmtId="0" fontId="1" fillId="33" borderId="21" xfId="0" applyFont="1" applyFill="1" applyBorder="1" applyAlignment="1">
      <alignment horizontal="center" vertical="center" wrapText="1"/>
    </xf>
    <xf numFmtId="0" fontId="1" fillId="33" borderId="50" xfId="0" applyFont="1" applyFill="1" applyBorder="1" applyAlignment="1">
      <alignment horizontal="center" vertical="center" wrapText="1"/>
    </xf>
    <xf numFmtId="0" fontId="6" fillId="33" borderId="45" xfId="0" applyFont="1" applyFill="1" applyBorder="1" applyAlignment="1">
      <alignment horizontal="center" wrapText="1"/>
    </xf>
    <xf numFmtId="0" fontId="6" fillId="33" borderId="46" xfId="0" applyFont="1" applyFill="1" applyBorder="1" applyAlignment="1">
      <alignment horizontal="center" wrapText="1"/>
    </xf>
    <xf numFmtId="0" fontId="7" fillId="33" borderId="19" xfId="0" applyFont="1" applyFill="1" applyBorder="1" applyAlignment="1">
      <alignment horizontal="left" vertical="top" indent="1"/>
    </xf>
    <xf numFmtId="0" fontId="6" fillId="33" borderId="19" xfId="0" applyFont="1" applyFill="1" applyBorder="1" applyAlignment="1">
      <alignment horizontal="left" vertical="top" indent="1"/>
    </xf>
    <xf numFmtId="0" fontId="1" fillId="33" borderId="42" xfId="67" applyFont="1" applyFill="1" applyBorder="1" applyAlignment="1">
      <alignment horizontal="center" vertical="center" wrapText="1"/>
      <protection/>
    </xf>
    <xf numFmtId="0" fontId="1" fillId="33" borderId="18" xfId="67" applyFont="1" applyFill="1" applyBorder="1" applyAlignment="1">
      <alignment horizontal="center" vertical="center" wrapText="1"/>
      <protection/>
    </xf>
    <xf numFmtId="0" fontId="3" fillId="33" borderId="11" xfId="67" applyFont="1" applyFill="1" applyBorder="1" applyAlignment="1">
      <alignment horizontal="center" vertical="center" wrapText="1"/>
      <protection/>
    </xf>
    <xf numFmtId="0" fontId="3" fillId="33" borderId="0" xfId="67" applyFont="1" applyFill="1" applyBorder="1" applyAlignment="1">
      <alignment horizontal="center" vertical="center" wrapText="1"/>
      <protection/>
    </xf>
    <xf numFmtId="0" fontId="6" fillId="33" borderId="13" xfId="0" applyFont="1" applyFill="1" applyBorder="1" applyAlignment="1">
      <alignment horizontal="center" wrapText="1"/>
    </xf>
    <xf numFmtId="0" fontId="6" fillId="33" borderId="14" xfId="0" applyFont="1" applyFill="1" applyBorder="1" applyAlignment="1">
      <alignment horizontal="center" wrapText="1"/>
    </xf>
    <xf numFmtId="0" fontId="1" fillId="33" borderId="13" xfId="67" applyFont="1" applyFill="1" applyBorder="1" applyAlignment="1">
      <alignment horizontal="center" vertical="center" wrapText="1"/>
      <protection/>
    </xf>
    <xf numFmtId="0" fontId="1" fillId="33" borderId="41" xfId="67" applyFont="1" applyFill="1" applyBorder="1" applyAlignment="1">
      <alignment horizontal="center" vertical="center" wrapText="1"/>
      <protection/>
    </xf>
    <xf numFmtId="0" fontId="6" fillId="33" borderId="13" xfId="0" applyFont="1" applyFill="1" applyBorder="1" applyAlignment="1">
      <alignment horizontal="center" vertical="top"/>
    </xf>
    <xf numFmtId="0" fontId="6" fillId="33" borderId="41" xfId="0" applyFont="1" applyFill="1" applyBorder="1" applyAlignment="1">
      <alignment horizontal="center" vertical="top"/>
    </xf>
    <xf numFmtId="0" fontId="1" fillId="33" borderId="13" xfId="67" applyFont="1" applyFill="1" applyBorder="1" applyAlignment="1">
      <alignment horizontal="center" vertical="center"/>
      <protection/>
    </xf>
    <xf numFmtId="0" fontId="1" fillId="33" borderId="41" xfId="67" applyFont="1" applyFill="1" applyBorder="1" applyAlignment="1">
      <alignment horizontal="center" vertical="center"/>
      <protection/>
    </xf>
    <xf numFmtId="0" fontId="7" fillId="33" borderId="43" xfId="0" applyFont="1" applyFill="1" applyBorder="1" applyAlignment="1">
      <alignment horizontal="left" wrapText="1" indent="1"/>
    </xf>
    <xf numFmtId="0" fontId="7" fillId="33" borderId="51" xfId="0" applyFont="1" applyFill="1" applyBorder="1" applyAlignment="1">
      <alignment horizontal="left" wrapText="1" indent="1"/>
    </xf>
    <xf numFmtId="0" fontId="7" fillId="33" borderId="34"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1" fillId="0" borderId="13" xfId="0" applyFont="1" applyFill="1" applyBorder="1" applyAlignment="1">
      <alignment horizontal="center"/>
    </xf>
    <xf numFmtId="0" fontId="1" fillId="0" borderId="14" xfId="0" applyFont="1" applyFill="1" applyBorder="1" applyAlignment="1">
      <alignment horizontal="center"/>
    </xf>
    <xf numFmtId="0" fontId="1" fillId="0" borderId="41" xfId="0" applyFont="1" applyFill="1" applyBorder="1" applyAlignment="1">
      <alignment horizontal="center"/>
    </xf>
    <xf numFmtId="0" fontId="1" fillId="33" borderId="13" xfId="67" applyFont="1" applyFill="1" applyBorder="1" applyAlignment="1">
      <alignment horizontal="center"/>
      <protection/>
    </xf>
    <xf numFmtId="0" fontId="1" fillId="33" borderId="14" xfId="67" applyFont="1" applyFill="1" applyBorder="1" applyAlignment="1">
      <alignment horizontal="center"/>
      <protection/>
    </xf>
    <xf numFmtId="0" fontId="1" fillId="33" borderId="41" xfId="67" applyFont="1" applyFill="1" applyBorder="1" applyAlignment="1">
      <alignment horizontal="center"/>
      <protection/>
    </xf>
    <xf numFmtId="0" fontId="29" fillId="0" borderId="53" xfId="0" applyFont="1" applyBorder="1" applyAlignment="1">
      <alignment horizontal="center"/>
    </xf>
    <xf numFmtId="0" fontId="29" fillId="0" borderId="54" xfId="0" applyFont="1" applyBorder="1" applyAlignment="1">
      <alignment horizontal="center"/>
    </xf>
    <xf numFmtId="0" fontId="29" fillId="0" borderId="55" xfId="0" applyFont="1" applyBorder="1" applyAlignment="1">
      <alignment horizontal="center"/>
    </xf>
    <xf numFmtId="0" fontId="26" fillId="0" borderId="0" xfId="0" applyFont="1" applyBorder="1" applyAlignment="1">
      <alignment horizontal="right"/>
    </xf>
    <xf numFmtId="43" fontId="2" fillId="0" borderId="17" xfId="42" applyFont="1" applyFill="1" applyBorder="1" applyAlignment="1" applyProtection="1">
      <alignment horizontal="center" vertical="center" wrapText="1"/>
      <protection/>
    </xf>
    <xf numFmtId="0" fontId="2" fillId="33" borderId="34" xfId="0" applyFont="1" applyFill="1" applyBorder="1" applyAlignment="1">
      <alignment/>
    </xf>
    <xf numFmtId="182" fontId="2" fillId="33" borderId="34" xfId="0" applyNumberFormat="1" applyFont="1" applyFill="1" applyBorder="1" applyAlignment="1">
      <alignment/>
    </xf>
    <xf numFmtId="182" fontId="7" fillId="33" borderId="34" xfId="42" applyNumberFormat="1" applyFont="1" applyFill="1" applyBorder="1" applyAlignment="1">
      <alignment horizontal="center" vertical="top"/>
    </xf>
    <xf numFmtId="0" fontId="1" fillId="33" borderId="17" xfId="0" applyFont="1" applyFill="1" applyBorder="1" applyAlignment="1">
      <alignment/>
    </xf>
    <xf numFmtId="182" fontId="1" fillId="33" borderId="17" xfId="0" applyNumberFormat="1" applyFont="1" applyFill="1" applyBorder="1" applyAlignment="1">
      <alignment/>
    </xf>
    <xf numFmtId="182" fontId="6" fillId="33" borderId="17" xfId="42" applyNumberFormat="1" applyFont="1" applyFill="1" applyBorder="1" applyAlignment="1">
      <alignment horizontal="center" vertical="top"/>
    </xf>
    <xf numFmtId="0" fontId="2" fillId="33" borderId="20" xfId="0" applyFont="1" applyFill="1" applyBorder="1" applyAlignment="1">
      <alignment/>
    </xf>
    <xf numFmtId="182" fontId="2" fillId="33" borderId="20" xfId="0" applyNumberFormat="1" applyFont="1" applyFill="1" applyBorder="1" applyAlignment="1">
      <alignment/>
    </xf>
    <xf numFmtId="182" fontId="7" fillId="33" borderId="20" xfId="42" applyNumberFormat="1" applyFont="1" applyFill="1" applyBorder="1" applyAlignment="1">
      <alignment horizontal="center" vertical="top"/>
    </xf>
    <xf numFmtId="183" fontId="27" fillId="0" borderId="22" xfId="0" applyNumberFormat="1" applyFont="1" applyBorder="1" applyAlignment="1">
      <alignment horizontal="right"/>
    </xf>
    <xf numFmtId="0" fontId="14" fillId="33" borderId="53" xfId="0" applyFont="1" applyFill="1" applyBorder="1" applyAlignment="1" applyProtection="1">
      <alignment horizontal="center"/>
      <protection/>
    </xf>
    <xf numFmtId="0" fontId="14" fillId="33" borderId="54" xfId="0" applyFont="1" applyFill="1" applyBorder="1" applyAlignment="1" applyProtection="1">
      <alignment horizontal="center"/>
      <protection/>
    </xf>
    <xf numFmtId="0" fontId="14" fillId="33" borderId="55" xfId="0" applyFont="1" applyFill="1" applyBorder="1" applyAlignment="1" applyProtection="1">
      <alignment horizontal="center"/>
      <protection/>
    </xf>
    <xf numFmtId="0" fontId="1" fillId="33" borderId="11" xfId="0" applyFont="1" applyFill="1" applyBorder="1" applyAlignment="1">
      <alignment horizontal="center"/>
    </xf>
    <xf numFmtId="0" fontId="1" fillId="33" borderId="0" xfId="0" applyFont="1" applyFill="1" applyBorder="1" applyAlignment="1">
      <alignment horizontal="center"/>
    </xf>
    <xf numFmtId="0" fontId="1" fillId="33" borderId="23" xfId="0" applyFont="1" applyFill="1" applyBorder="1" applyAlignment="1">
      <alignment horizontal="center"/>
    </xf>
    <xf numFmtId="0" fontId="14" fillId="33" borderId="22" xfId="0" applyFont="1" applyFill="1" applyBorder="1" applyAlignment="1">
      <alignment horizontal="center" vertical="top" wrapText="1"/>
    </xf>
    <xf numFmtId="0" fontId="14" fillId="33" borderId="34" xfId="0" applyFont="1" applyFill="1" applyBorder="1" applyAlignment="1">
      <alignment horizontal="center" vertical="top" wrapText="1"/>
    </xf>
    <xf numFmtId="0" fontId="14" fillId="33" borderId="20" xfId="0" applyFont="1" applyFill="1" applyBorder="1" applyAlignment="1">
      <alignment horizontal="center" vertical="top" wrapText="1"/>
    </xf>
    <xf numFmtId="0" fontId="14" fillId="33" borderId="18" xfId="0" applyFont="1" applyFill="1" applyBorder="1" applyAlignment="1" applyProtection="1">
      <alignment horizontal="center" vertical="top" wrapText="1"/>
      <protection/>
    </xf>
    <xf numFmtId="0" fontId="14" fillId="33" borderId="18" xfId="0" applyFont="1" applyFill="1" applyBorder="1" applyAlignment="1">
      <alignment horizontal="center"/>
    </xf>
    <xf numFmtId="0" fontId="14" fillId="33" borderId="19" xfId="0" applyFont="1" applyFill="1" applyBorder="1" applyAlignment="1">
      <alignment horizontal="center"/>
    </xf>
    <xf numFmtId="0" fontId="14" fillId="33" borderId="24" xfId="0" applyFont="1" applyFill="1" applyBorder="1" applyAlignment="1">
      <alignment horizontal="center"/>
    </xf>
    <xf numFmtId="0" fontId="1" fillId="33" borderId="15" xfId="0" applyFont="1" applyFill="1" applyBorder="1" applyAlignment="1">
      <alignment horizontal="center"/>
    </xf>
    <xf numFmtId="0" fontId="26" fillId="0" borderId="13" xfId="0" applyFont="1" applyBorder="1" applyAlignment="1">
      <alignment horizontal="center"/>
    </xf>
    <xf numFmtId="0" fontId="26" fillId="0" borderId="14" xfId="0" applyFont="1" applyBorder="1" applyAlignment="1">
      <alignment horizontal="center"/>
    </xf>
    <xf numFmtId="0" fontId="26" fillId="0" borderId="41" xfId="0" applyFont="1" applyBorder="1" applyAlignment="1">
      <alignment horizontal="center"/>
    </xf>
    <xf numFmtId="0" fontId="26" fillId="0" borderId="11" xfId="0" applyFont="1" applyBorder="1" applyAlignment="1">
      <alignment horizontal="center"/>
    </xf>
    <xf numFmtId="0" fontId="26" fillId="0" borderId="0" xfId="0" applyFont="1" applyBorder="1" applyAlignment="1">
      <alignment horizontal="center"/>
    </xf>
    <xf numFmtId="0" fontId="26" fillId="0" borderId="15" xfId="0" applyFont="1" applyBorder="1" applyAlignment="1">
      <alignment horizontal="center"/>
    </xf>
    <xf numFmtId="0" fontId="24" fillId="0" borderId="11" xfId="0" applyFont="1" applyBorder="1" applyAlignment="1" quotePrefix="1">
      <alignment horizontal="left" vertical="top" wrapText="1"/>
    </xf>
    <xf numFmtId="0" fontId="24" fillId="0" borderId="0" xfId="0" applyFont="1" applyBorder="1" applyAlignment="1" quotePrefix="1">
      <alignment horizontal="left" vertical="top" wrapText="1"/>
    </xf>
    <xf numFmtId="0" fontId="24" fillId="0" borderId="15" xfId="0" applyFont="1" applyBorder="1" applyAlignment="1" quotePrefix="1">
      <alignment horizontal="left" vertical="top"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_Revised-Schedule-VI- 24052012l" xfId="46"/>
    <cellStyle name="Comma 3" xfId="47"/>
    <cellStyle name="Comma 4" xfId="48"/>
    <cellStyle name="Comma 5" xfId="49"/>
    <cellStyle name="Comma 6" xfId="50"/>
    <cellStyle name="Comma 6 2"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2_Revised-Schedule-VI- 24052012l" xfId="68"/>
    <cellStyle name="Normal 3" xfId="69"/>
    <cellStyle name="Normal 4" xfId="70"/>
    <cellStyle name="Normal 5" xfId="71"/>
    <cellStyle name="Note" xfId="72"/>
    <cellStyle name="Output" xfId="73"/>
    <cellStyle name="Percent" xfId="74"/>
    <cellStyle name="Percent 2" xfId="75"/>
    <cellStyle name="Percent 3"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s\D\d\UNIMED%20FINAL%20BS%202011\B.S.%202010-11%208.9.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s\Share\BS%202011-12\MARCH-2011-12.XLS\bs%20310712\Copbs%20march2012.14.05.12.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T Calc"/>
      <sheetName val="BS"/>
      <sheetName val="P &amp; L"/>
      <sheetName val="Sch P&amp;L"/>
      <sheetName val="Cl Stock"/>
      <sheetName val="Cash Flow"/>
      <sheetName val="T B 10.11"/>
      <sheetName val="Debtors ageing"/>
      <sheetName val="Related Party"/>
      <sheetName val="Lease rentals"/>
      <sheetName val="Deff Tax"/>
      <sheetName val="EPS Cacl"/>
      <sheetName val="$ Dealing"/>
      <sheetName val="Leave Encashment"/>
      <sheetName val="Dep Comp"/>
      <sheetName val="add Companies Act"/>
      <sheetName val="IT Dep"/>
      <sheetName val="IT Dep working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utation"/>
      <sheetName val="cash flow (2)"/>
      <sheetName val="cash flow"/>
      <sheetName val="bs"/>
      <sheetName val="P &amp; l"/>
      <sheetName val="Sheet2"/>
      <sheetName val="p &amp; l schedule"/>
      <sheetName val="bs schedule"/>
      <sheetName val="Sheet1"/>
      <sheetName val="Sheet3"/>
      <sheetName val="Sheet4"/>
      <sheetName val="Sheet5"/>
      <sheetName val="TB30112011"/>
      <sheetName val="Sheet6"/>
      <sheetName val="TB 311011"/>
      <sheetName val="TB31122011"/>
      <sheetName val="TB31012012"/>
      <sheetName val="P &amp; l schedules (2)"/>
      <sheetName val="tb 29022012"/>
      <sheetName val="TB 31032012"/>
      <sheetName val="dep (2)"/>
      <sheetName val="dep it"/>
      <sheetName val="dta"/>
      <sheetName val="dep"/>
      <sheetName val="P &amp; l schedules"/>
    </sheetNames>
    <sheetDataSet>
      <sheetData sheetId="15">
        <row r="267">
          <cell r="C267">
            <v>65083247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T385"/>
  <sheetViews>
    <sheetView zoomScalePageLayoutView="0" workbookViewId="0" topLeftCell="C231">
      <selection activeCell="A3" sqref="A3:M3"/>
    </sheetView>
  </sheetViews>
  <sheetFormatPr defaultColWidth="9.140625" defaultRowHeight="12.75"/>
  <cols>
    <col min="3" max="3" width="19.8515625" style="0" customWidth="1"/>
    <col min="4" max="4" width="14.8515625" style="0" customWidth="1"/>
    <col min="5" max="5" width="13.421875" style="0" customWidth="1"/>
    <col min="6" max="7" width="13.8515625" style="0" customWidth="1"/>
    <col min="8" max="8" width="13.140625" style="0" customWidth="1"/>
    <col min="9" max="9" width="12.57421875" style="0" customWidth="1"/>
    <col min="10" max="10" width="13.8515625" style="0" customWidth="1"/>
    <col min="11" max="11" width="12.421875" style="0" customWidth="1"/>
    <col min="12" max="12" width="11.8515625" style="0" customWidth="1"/>
    <col min="13" max="13" width="12.7109375" style="0" customWidth="1"/>
  </cols>
  <sheetData>
    <row r="1" ht="13.5" thickBot="1"/>
    <row r="2" spans="1:20" ht="15">
      <c r="A2" s="834" t="s">
        <v>187</v>
      </c>
      <c r="B2" s="835"/>
      <c r="C2" s="835"/>
      <c r="D2" s="835"/>
      <c r="E2" s="835"/>
      <c r="F2" s="835"/>
      <c r="G2" s="835"/>
      <c r="H2" s="835"/>
      <c r="I2" s="835"/>
      <c r="J2" s="835"/>
      <c r="K2" s="835"/>
      <c r="L2" s="835"/>
      <c r="M2" s="836"/>
      <c r="N2" s="90"/>
      <c r="O2" s="91"/>
      <c r="P2" s="91"/>
      <c r="Q2" s="91"/>
      <c r="R2" s="91"/>
      <c r="S2" s="91"/>
      <c r="T2" s="91"/>
    </row>
    <row r="3" spans="1:20" ht="15">
      <c r="A3" s="837" t="s">
        <v>427</v>
      </c>
      <c r="B3" s="838"/>
      <c r="C3" s="838"/>
      <c r="D3" s="838"/>
      <c r="E3" s="838"/>
      <c r="F3" s="838"/>
      <c r="G3" s="838"/>
      <c r="H3" s="838"/>
      <c r="I3" s="838"/>
      <c r="J3" s="838"/>
      <c r="K3" s="838"/>
      <c r="L3" s="838"/>
      <c r="M3" s="839"/>
      <c r="N3" s="90"/>
      <c r="O3" s="91"/>
      <c r="P3" s="91"/>
      <c r="Q3" s="91"/>
      <c r="R3" s="91"/>
      <c r="S3" s="91"/>
      <c r="T3" s="91"/>
    </row>
    <row r="4" spans="1:20" ht="15">
      <c r="A4" s="92"/>
      <c r="B4" s="93"/>
      <c r="C4" s="93"/>
      <c r="D4" s="93"/>
      <c r="E4" s="93"/>
      <c r="F4" s="93"/>
      <c r="G4" s="93"/>
      <c r="H4" s="93"/>
      <c r="I4" s="93"/>
      <c r="J4" s="93"/>
      <c r="K4" s="93"/>
      <c r="L4" s="93"/>
      <c r="M4" s="94"/>
      <c r="N4" s="91"/>
      <c r="O4" s="91"/>
      <c r="P4" s="91"/>
      <c r="Q4" s="91"/>
      <c r="R4" s="91"/>
      <c r="S4" s="91"/>
      <c r="T4" s="91"/>
    </row>
    <row r="5" spans="1:20" ht="15">
      <c r="A5" s="92" t="s">
        <v>188</v>
      </c>
      <c r="B5" s="93"/>
      <c r="C5" s="37"/>
      <c r="D5" s="37"/>
      <c r="E5" s="37"/>
      <c r="F5" s="37"/>
      <c r="G5" s="37"/>
      <c r="H5" s="37"/>
      <c r="I5" s="37"/>
      <c r="J5" s="37"/>
      <c r="K5" s="37"/>
      <c r="L5" s="37" t="s">
        <v>189</v>
      </c>
      <c r="M5" s="95"/>
      <c r="N5" s="91"/>
      <c r="O5" s="91"/>
      <c r="P5" s="91"/>
      <c r="Q5" s="91"/>
      <c r="R5" s="91"/>
      <c r="S5" s="91"/>
      <c r="T5" s="91"/>
    </row>
    <row r="6" spans="1:20" ht="15">
      <c r="A6" s="96" t="s">
        <v>190</v>
      </c>
      <c r="B6" s="37"/>
      <c r="C6" s="37"/>
      <c r="D6" s="37"/>
      <c r="E6" s="37"/>
      <c r="F6" s="37"/>
      <c r="G6" s="37"/>
      <c r="H6" s="37"/>
      <c r="I6" s="37"/>
      <c r="J6" s="37"/>
      <c r="K6" s="37"/>
      <c r="L6" s="37"/>
      <c r="M6" s="95"/>
      <c r="N6" s="91"/>
      <c r="O6" s="91"/>
      <c r="P6" s="91"/>
      <c r="Q6" s="91"/>
      <c r="R6" s="91"/>
      <c r="S6" s="91"/>
      <c r="T6" s="91"/>
    </row>
    <row r="7" spans="1:20" ht="15">
      <c r="A7" s="840"/>
      <c r="B7" s="841" t="s">
        <v>191</v>
      </c>
      <c r="C7" s="843" t="s">
        <v>192</v>
      </c>
      <c r="D7" s="844" t="s">
        <v>193</v>
      </c>
      <c r="E7" s="845"/>
      <c r="F7" s="845"/>
      <c r="G7" s="845"/>
      <c r="H7" s="845" t="s">
        <v>521</v>
      </c>
      <c r="I7" s="845"/>
      <c r="J7" s="845"/>
      <c r="K7" s="845"/>
      <c r="L7" s="845" t="s">
        <v>194</v>
      </c>
      <c r="M7" s="846"/>
      <c r="N7" s="97"/>
      <c r="O7" s="97"/>
      <c r="P7" s="97"/>
      <c r="Q7" s="97"/>
      <c r="R7" s="97"/>
      <c r="S7" s="97"/>
      <c r="T7" s="97"/>
    </row>
    <row r="8" spans="1:20" ht="45">
      <c r="A8" s="840"/>
      <c r="B8" s="842"/>
      <c r="C8" s="843"/>
      <c r="D8" s="98" t="s">
        <v>195</v>
      </c>
      <c r="E8" s="27" t="s">
        <v>196</v>
      </c>
      <c r="F8" s="27" t="s">
        <v>197</v>
      </c>
      <c r="G8" s="27" t="s">
        <v>198</v>
      </c>
      <c r="H8" s="98" t="s">
        <v>199</v>
      </c>
      <c r="I8" s="98" t="s">
        <v>200</v>
      </c>
      <c r="J8" s="27" t="s">
        <v>197</v>
      </c>
      <c r="K8" s="98" t="s">
        <v>201</v>
      </c>
      <c r="L8" s="98" t="s">
        <v>202</v>
      </c>
      <c r="M8" s="99" t="s">
        <v>203</v>
      </c>
      <c r="N8" s="100"/>
      <c r="O8" s="100"/>
      <c r="P8" s="100"/>
      <c r="Q8" s="100"/>
      <c r="R8" s="100"/>
      <c r="S8" s="100"/>
      <c r="T8" s="100"/>
    </row>
    <row r="9" spans="1:20" ht="15">
      <c r="A9" s="101"/>
      <c r="B9" s="102">
        <v>1</v>
      </c>
      <c r="C9" s="103" t="s">
        <v>331</v>
      </c>
      <c r="D9" s="104">
        <v>423542</v>
      </c>
      <c r="E9" s="105">
        <v>0</v>
      </c>
      <c r="F9" s="105">
        <v>0</v>
      </c>
      <c r="G9" s="105">
        <f>+D9+E9-F9</f>
        <v>423542</v>
      </c>
      <c r="H9" s="106">
        <v>0</v>
      </c>
      <c r="I9" s="107">
        <v>0</v>
      </c>
      <c r="J9" s="105">
        <v>0</v>
      </c>
      <c r="K9" s="105">
        <f>+H9+I9-J9</f>
        <v>0</v>
      </c>
      <c r="L9" s="107">
        <f>+G9-K9</f>
        <v>423542</v>
      </c>
      <c r="M9" s="108">
        <f>D9-H9</f>
        <v>423542</v>
      </c>
      <c r="N9" s="91"/>
      <c r="O9" s="91"/>
      <c r="P9" s="91"/>
      <c r="Q9" s="91"/>
      <c r="R9" s="91"/>
      <c r="S9" s="91"/>
      <c r="T9" s="91"/>
    </row>
    <row r="10" spans="1:20" ht="15">
      <c r="A10" s="101"/>
      <c r="B10" s="102">
        <f>+B9+1</f>
        <v>2</v>
      </c>
      <c r="C10" s="103" t="s">
        <v>204</v>
      </c>
      <c r="D10" s="104">
        <v>15568120</v>
      </c>
      <c r="E10" s="109">
        <f>+K37</f>
        <v>2341610</v>
      </c>
      <c r="F10" s="105">
        <v>0</v>
      </c>
      <c r="G10" s="105">
        <f>+D10+E10-F10</f>
        <v>17909730</v>
      </c>
      <c r="H10" s="106">
        <v>4418485</v>
      </c>
      <c r="I10" s="107">
        <f>+N37</f>
        <v>519975</v>
      </c>
      <c r="J10" s="105">
        <v>0</v>
      </c>
      <c r="K10" s="105">
        <f>+H10+I10-J10</f>
        <v>4938460</v>
      </c>
      <c r="L10" s="107">
        <f>+G10-K10</f>
        <v>12971270</v>
      </c>
      <c r="M10" s="108">
        <v>11149635</v>
      </c>
      <c r="N10" s="91"/>
      <c r="O10" s="110">
        <f>+L25</f>
        <v>55519075.33133115</v>
      </c>
      <c r="P10" s="91"/>
      <c r="Q10" s="91"/>
      <c r="R10" s="91"/>
      <c r="S10" s="91"/>
      <c r="T10" s="91"/>
    </row>
    <row r="11" spans="1:20" ht="15">
      <c r="A11" s="101"/>
      <c r="B11" s="102">
        <f aca="true" t="shared" si="0" ref="B11:B21">+B10+1</f>
        <v>3</v>
      </c>
      <c r="C11" s="103" t="s">
        <v>499</v>
      </c>
      <c r="D11" s="104">
        <v>788145</v>
      </c>
      <c r="E11" s="105">
        <f>+K38</f>
        <v>0</v>
      </c>
      <c r="F11" s="105">
        <v>0</v>
      </c>
      <c r="G11" s="105">
        <f aca="true" t="shared" si="1" ref="G11:G21">+D11+E11-F11</f>
        <v>788145</v>
      </c>
      <c r="H11" s="106">
        <v>181880</v>
      </c>
      <c r="I11" s="107">
        <f>+N38</f>
        <v>12847</v>
      </c>
      <c r="J11" s="105">
        <v>0</v>
      </c>
      <c r="K11" s="105">
        <f>+H11+I11-J11</f>
        <v>194727</v>
      </c>
      <c r="L11" s="107">
        <f>+G11-K11</f>
        <v>593418</v>
      </c>
      <c r="M11" s="108">
        <v>606265</v>
      </c>
      <c r="N11" s="91"/>
      <c r="O11" s="111">
        <f>+I23</f>
        <v>10942686.668668853</v>
      </c>
      <c r="P11" s="91"/>
      <c r="Q11" s="91"/>
      <c r="R11" s="91"/>
      <c r="S11" s="91"/>
      <c r="T11" s="91"/>
    </row>
    <row r="12" spans="1:20" ht="15">
      <c r="A12" s="101"/>
      <c r="B12" s="102">
        <f t="shared" si="0"/>
        <v>4</v>
      </c>
      <c r="C12" s="103" t="s">
        <v>363</v>
      </c>
      <c r="D12" s="104">
        <v>89644034</v>
      </c>
      <c r="E12" s="105">
        <f>+K39+K40+K44+K41+K42+K43</f>
        <v>4184020</v>
      </c>
      <c r="F12" s="105">
        <v>0</v>
      </c>
      <c r="G12" s="105">
        <f t="shared" si="1"/>
        <v>93828054</v>
      </c>
      <c r="H12" s="106">
        <v>63047011</v>
      </c>
      <c r="I12" s="107">
        <f>+N39+N40+N41+N42+N43+N44</f>
        <v>7393276</v>
      </c>
      <c r="J12" s="105">
        <v>0</v>
      </c>
      <c r="K12" s="105">
        <f>+H12+I12-J12</f>
        <v>70440287</v>
      </c>
      <c r="L12" s="107">
        <f>+G12-K12</f>
        <v>23387767</v>
      </c>
      <c r="M12" s="108">
        <f>D12-H12</f>
        <v>26597023</v>
      </c>
      <c r="N12" s="91"/>
      <c r="O12" s="110">
        <f>+O10+O11</f>
        <v>66461762</v>
      </c>
      <c r="P12" s="91"/>
      <c r="Q12" s="91"/>
      <c r="R12" s="91"/>
      <c r="S12" s="91"/>
      <c r="T12" s="91"/>
    </row>
    <row r="13" spans="1:20" ht="15">
      <c r="A13" s="101"/>
      <c r="B13" s="102">
        <f t="shared" si="0"/>
        <v>5</v>
      </c>
      <c r="C13" s="103" t="s">
        <v>495</v>
      </c>
      <c r="D13" s="104">
        <v>710014</v>
      </c>
      <c r="E13" s="105">
        <f>+K45</f>
        <v>46260</v>
      </c>
      <c r="F13" s="105">
        <v>0</v>
      </c>
      <c r="G13" s="105">
        <f t="shared" si="1"/>
        <v>756274</v>
      </c>
      <c r="H13" s="106">
        <v>619444</v>
      </c>
      <c r="I13" s="107">
        <f>+N45</f>
        <v>47129</v>
      </c>
      <c r="J13" s="105">
        <v>0</v>
      </c>
      <c r="K13" s="105">
        <f aca="true" t="shared" si="2" ref="K13:K21">+H13+I13-J13</f>
        <v>666573</v>
      </c>
      <c r="L13" s="107">
        <f aca="true" t="shared" si="3" ref="L13:L21">+G13-K13</f>
        <v>89701</v>
      </c>
      <c r="M13" s="108">
        <f aca="true" t="shared" si="4" ref="M13:M21">D13-H13</f>
        <v>90570</v>
      </c>
      <c r="N13" s="91"/>
      <c r="O13" s="110">
        <f>+'[2]TB31122011'!C267</f>
        <v>65083247</v>
      </c>
      <c r="P13" s="91"/>
      <c r="Q13" s="91"/>
      <c r="R13" s="91"/>
      <c r="S13" s="91"/>
      <c r="T13" s="91"/>
    </row>
    <row r="14" spans="1:20" ht="15">
      <c r="A14" s="101"/>
      <c r="B14" s="102">
        <f t="shared" si="0"/>
        <v>6</v>
      </c>
      <c r="C14" s="103" t="s">
        <v>364</v>
      </c>
      <c r="D14" s="104">
        <v>523151</v>
      </c>
      <c r="E14" s="105">
        <f>+K46</f>
        <v>268378</v>
      </c>
      <c r="F14" s="105">
        <v>0</v>
      </c>
      <c r="G14" s="105">
        <f t="shared" si="1"/>
        <v>791529</v>
      </c>
      <c r="H14" s="106">
        <v>365868</v>
      </c>
      <c r="I14" s="107">
        <f>+N46</f>
        <v>31368</v>
      </c>
      <c r="J14" s="105">
        <v>0</v>
      </c>
      <c r="K14" s="105">
        <f t="shared" si="2"/>
        <v>397236</v>
      </c>
      <c r="L14" s="107">
        <f t="shared" si="3"/>
        <v>394293</v>
      </c>
      <c r="M14" s="108">
        <f t="shared" si="4"/>
        <v>157283</v>
      </c>
      <c r="N14" s="91"/>
      <c r="O14" s="110">
        <f>+O12-O13</f>
        <v>1378515</v>
      </c>
      <c r="P14" s="91"/>
      <c r="Q14" s="91"/>
      <c r="R14" s="91"/>
      <c r="S14" s="91"/>
      <c r="T14" s="91"/>
    </row>
    <row r="15" spans="1:20" ht="15">
      <c r="A15" s="101"/>
      <c r="B15" s="102">
        <f t="shared" si="0"/>
        <v>7</v>
      </c>
      <c r="C15" s="103" t="s">
        <v>332</v>
      </c>
      <c r="D15" s="104">
        <v>6950286</v>
      </c>
      <c r="E15" s="105">
        <f>+K47</f>
        <v>817630</v>
      </c>
      <c r="F15" s="105">
        <v>2836505</v>
      </c>
      <c r="G15" s="105">
        <f>+D15+E15-F15</f>
        <v>4931411</v>
      </c>
      <c r="H15" s="106">
        <v>2901274</v>
      </c>
      <c r="I15" s="107">
        <f>+N47+N48+N49</f>
        <v>674573</v>
      </c>
      <c r="J15" s="105">
        <v>1257376</v>
      </c>
      <c r="K15" s="105">
        <f>+H15+I15-J15</f>
        <v>2318471</v>
      </c>
      <c r="L15" s="107">
        <f>+G15-K15</f>
        <v>2612940</v>
      </c>
      <c r="M15" s="108">
        <f t="shared" si="4"/>
        <v>4049012</v>
      </c>
      <c r="N15" s="91"/>
      <c r="O15" s="110"/>
      <c r="P15" s="91"/>
      <c r="Q15" s="91"/>
      <c r="R15" s="91"/>
      <c r="S15" s="91"/>
      <c r="T15" s="91"/>
    </row>
    <row r="16" spans="1:20" ht="15">
      <c r="A16" s="101"/>
      <c r="B16" s="102">
        <f t="shared" si="0"/>
        <v>8</v>
      </c>
      <c r="C16" s="103" t="s">
        <v>492</v>
      </c>
      <c r="D16" s="104">
        <v>1039449</v>
      </c>
      <c r="E16" s="105">
        <f>+K50</f>
        <v>214406</v>
      </c>
      <c r="F16" s="105">
        <v>0</v>
      </c>
      <c r="G16" s="105">
        <f t="shared" si="1"/>
        <v>1253855</v>
      </c>
      <c r="H16" s="106">
        <v>817917</v>
      </c>
      <c r="I16" s="107">
        <f aca="true" t="shared" si="5" ref="I16:I21">+N50</f>
        <v>187723</v>
      </c>
      <c r="J16" s="105">
        <v>0</v>
      </c>
      <c r="K16" s="105">
        <f t="shared" si="2"/>
        <v>1005640</v>
      </c>
      <c r="L16" s="107">
        <f t="shared" si="3"/>
        <v>248215</v>
      </c>
      <c r="M16" s="108">
        <f t="shared" si="4"/>
        <v>221532</v>
      </c>
      <c r="N16" s="91"/>
      <c r="O16" s="112">
        <v>1257576</v>
      </c>
      <c r="P16" s="91" t="s">
        <v>205</v>
      </c>
      <c r="Q16" s="91"/>
      <c r="R16" s="91"/>
      <c r="S16" s="91"/>
      <c r="T16" s="91"/>
    </row>
    <row r="17" spans="1:20" ht="15">
      <c r="A17" s="101"/>
      <c r="B17" s="102">
        <f t="shared" si="0"/>
        <v>9</v>
      </c>
      <c r="C17" s="103" t="s">
        <v>494</v>
      </c>
      <c r="D17" s="104">
        <v>31497070</v>
      </c>
      <c r="E17" s="105">
        <f>+K51</f>
        <v>572351</v>
      </c>
      <c r="F17" s="105">
        <v>0</v>
      </c>
      <c r="G17" s="105">
        <f t="shared" si="1"/>
        <v>32069421</v>
      </c>
      <c r="H17" s="106">
        <v>18438595</v>
      </c>
      <c r="I17" s="107">
        <f t="shared" si="5"/>
        <v>1687823.6686688524</v>
      </c>
      <c r="J17" s="105">
        <v>0</v>
      </c>
      <c r="K17" s="105">
        <f t="shared" si="2"/>
        <v>20126418.66866885</v>
      </c>
      <c r="L17" s="107">
        <f t="shared" si="3"/>
        <v>11943002.331331149</v>
      </c>
      <c r="M17" s="108">
        <f t="shared" si="4"/>
        <v>13058475</v>
      </c>
      <c r="N17" s="91"/>
      <c r="O17" s="91"/>
      <c r="P17" s="91"/>
      <c r="Q17" s="91"/>
      <c r="R17" s="91"/>
      <c r="S17" s="91"/>
      <c r="T17" s="91"/>
    </row>
    <row r="18" spans="1:20" ht="15">
      <c r="A18" s="101"/>
      <c r="B18" s="102">
        <f t="shared" si="0"/>
        <v>10</v>
      </c>
      <c r="C18" s="38" t="s">
        <v>206</v>
      </c>
      <c r="D18" s="113">
        <v>1923674</v>
      </c>
      <c r="E18" s="105">
        <v>0</v>
      </c>
      <c r="F18" s="105">
        <v>0</v>
      </c>
      <c r="G18" s="105">
        <f t="shared" si="1"/>
        <v>1923674</v>
      </c>
      <c r="H18" s="106">
        <v>511116</v>
      </c>
      <c r="I18" s="107">
        <f t="shared" si="5"/>
        <v>142737</v>
      </c>
      <c r="J18" s="105">
        <v>0</v>
      </c>
      <c r="K18" s="105">
        <f t="shared" si="2"/>
        <v>653853</v>
      </c>
      <c r="L18" s="107">
        <f t="shared" si="3"/>
        <v>1269821</v>
      </c>
      <c r="M18" s="108">
        <f t="shared" si="4"/>
        <v>1412558</v>
      </c>
      <c r="N18" s="91"/>
      <c r="O18" s="91"/>
      <c r="P18" s="91"/>
      <c r="Q18" s="91"/>
      <c r="R18" s="91"/>
      <c r="S18" s="91"/>
      <c r="T18" s="91"/>
    </row>
    <row r="19" spans="1:20" ht="15">
      <c r="A19" s="101"/>
      <c r="B19" s="102">
        <f t="shared" si="0"/>
        <v>11</v>
      </c>
      <c r="C19" s="38" t="s">
        <v>207</v>
      </c>
      <c r="D19" s="113">
        <v>1967627</v>
      </c>
      <c r="E19" s="114">
        <f>+K53</f>
        <v>0</v>
      </c>
      <c r="F19" s="114">
        <v>0</v>
      </c>
      <c r="G19" s="105">
        <f t="shared" si="1"/>
        <v>1967627</v>
      </c>
      <c r="H19" s="106">
        <v>1087705</v>
      </c>
      <c r="I19" s="114">
        <f t="shared" si="5"/>
        <v>93462</v>
      </c>
      <c r="J19" s="114">
        <v>0</v>
      </c>
      <c r="K19" s="105">
        <f t="shared" si="2"/>
        <v>1181167</v>
      </c>
      <c r="L19" s="107">
        <f t="shared" si="3"/>
        <v>786460</v>
      </c>
      <c r="M19" s="108">
        <f t="shared" si="4"/>
        <v>879922</v>
      </c>
      <c r="N19" s="91"/>
      <c r="O19" s="91"/>
      <c r="P19" s="91"/>
      <c r="Q19" s="91"/>
      <c r="R19" s="91"/>
      <c r="S19" s="91"/>
      <c r="T19" s="91"/>
    </row>
    <row r="20" spans="1:20" ht="15">
      <c r="A20" s="101"/>
      <c r="B20" s="102">
        <f t="shared" si="0"/>
        <v>12</v>
      </c>
      <c r="C20" s="103" t="s">
        <v>208</v>
      </c>
      <c r="D20" s="104">
        <v>2550959</v>
      </c>
      <c r="E20" s="105">
        <v>0</v>
      </c>
      <c r="F20" s="105">
        <v>0</v>
      </c>
      <c r="G20" s="105">
        <f t="shared" si="1"/>
        <v>2550959</v>
      </c>
      <c r="H20" s="106">
        <v>1940915</v>
      </c>
      <c r="I20" s="107">
        <f t="shared" si="5"/>
        <v>121171</v>
      </c>
      <c r="J20" s="105">
        <v>0</v>
      </c>
      <c r="K20" s="105">
        <f t="shared" si="2"/>
        <v>2062086</v>
      </c>
      <c r="L20" s="107">
        <f t="shared" si="3"/>
        <v>488873</v>
      </c>
      <c r="M20" s="108">
        <f t="shared" si="4"/>
        <v>610044</v>
      </c>
      <c r="N20" s="91"/>
      <c r="O20" s="91"/>
      <c r="P20" s="91"/>
      <c r="Q20" s="91"/>
      <c r="R20" s="91"/>
      <c r="S20" s="91"/>
      <c r="T20" s="91"/>
    </row>
    <row r="21" spans="1:20" ht="15">
      <c r="A21" s="101"/>
      <c r="B21" s="102">
        <f t="shared" si="0"/>
        <v>13</v>
      </c>
      <c r="C21" s="103" t="s">
        <v>500</v>
      </c>
      <c r="D21" s="104">
        <v>628176</v>
      </c>
      <c r="E21" s="105">
        <f>+K55</f>
        <v>23000</v>
      </c>
      <c r="F21" s="105">
        <v>0</v>
      </c>
      <c r="G21" s="105">
        <f t="shared" si="1"/>
        <v>651176</v>
      </c>
      <c r="H21" s="106">
        <v>310801</v>
      </c>
      <c r="I21" s="107">
        <f t="shared" si="5"/>
        <v>30602</v>
      </c>
      <c r="J21" s="105">
        <v>0</v>
      </c>
      <c r="K21" s="105">
        <f t="shared" si="2"/>
        <v>341403</v>
      </c>
      <c r="L21" s="107">
        <f t="shared" si="3"/>
        <v>309773</v>
      </c>
      <c r="M21" s="108">
        <f t="shared" si="4"/>
        <v>317375</v>
      </c>
      <c r="N21" s="91"/>
      <c r="O21" s="91"/>
      <c r="P21" s="91"/>
      <c r="Q21" s="91"/>
      <c r="R21" s="91"/>
      <c r="S21" s="91"/>
      <c r="T21" s="91"/>
    </row>
    <row r="22" spans="1:20" ht="15">
      <c r="A22" s="101"/>
      <c r="B22" s="102"/>
      <c r="C22" s="103"/>
      <c r="D22" s="115"/>
      <c r="E22" s="105"/>
      <c r="F22" s="105"/>
      <c r="G22" s="105"/>
      <c r="H22" s="106"/>
      <c r="I22" s="107"/>
      <c r="J22" s="105"/>
      <c r="K22" s="105"/>
      <c r="L22" s="107"/>
      <c r="M22" s="108"/>
      <c r="N22" s="91"/>
      <c r="O22" s="91"/>
      <c r="P22" s="91"/>
      <c r="Q22" s="91"/>
      <c r="R22" s="91"/>
      <c r="S22" s="91"/>
      <c r="T22" s="91"/>
    </row>
    <row r="23" spans="1:20" ht="15">
      <c r="A23" s="116"/>
      <c r="B23" s="117"/>
      <c r="C23" s="118" t="s">
        <v>367</v>
      </c>
      <c r="D23" s="119">
        <f aca="true" t="shared" si="6" ref="D23:M23">SUM(D9:D21)</f>
        <v>154214247</v>
      </c>
      <c r="E23" s="120">
        <f>SUM(E9:E21)</f>
        <v>8467655</v>
      </c>
      <c r="F23" s="120">
        <f t="shared" si="6"/>
        <v>2836505</v>
      </c>
      <c r="G23" s="121">
        <f t="shared" si="6"/>
        <v>159845397</v>
      </c>
      <c r="H23" s="119">
        <f t="shared" si="6"/>
        <v>94641011</v>
      </c>
      <c r="I23" s="119">
        <f>SUM(I9:I21)</f>
        <v>10942686.668668853</v>
      </c>
      <c r="J23" s="119">
        <f t="shared" si="6"/>
        <v>1257376</v>
      </c>
      <c r="K23" s="121">
        <f>SUM(K9:K21)</f>
        <v>104326321.66866885</v>
      </c>
      <c r="L23" s="119">
        <f>SUM(L9:L21)</f>
        <v>55519075.33133115</v>
      </c>
      <c r="M23" s="122">
        <f t="shared" si="6"/>
        <v>59573236</v>
      </c>
      <c r="N23" s="91"/>
      <c r="O23" s="91"/>
      <c r="P23" s="91"/>
      <c r="Q23" s="91"/>
      <c r="R23" s="91"/>
      <c r="S23" s="91"/>
      <c r="T23" s="91"/>
    </row>
    <row r="24" spans="1:20" ht="15">
      <c r="A24" s="116"/>
      <c r="B24" s="117">
        <f>+B21+1</f>
        <v>14</v>
      </c>
      <c r="C24" s="123" t="s">
        <v>209</v>
      </c>
      <c r="D24" s="124">
        <v>0</v>
      </c>
      <c r="E24" s="125">
        <v>0</v>
      </c>
      <c r="F24" s="126">
        <v>0</v>
      </c>
      <c r="G24" s="127">
        <f>+D24+E24-F24</f>
        <v>0</v>
      </c>
      <c r="H24" s="119">
        <v>0</v>
      </c>
      <c r="I24" s="119">
        <v>0</v>
      </c>
      <c r="J24" s="127">
        <v>0</v>
      </c>
      <c r="K24" s="127">
        <v>0</v>
      </c>
      <c r="L24" s="126">
        <f>+G24-K24</f>
        <v>0</v>
      </c>
      <c r="M24" s="128">
        <f>D24-H24</f>
        <v>0</v>
      </c>
      <c r="N24" s="91"/>
      <c r="O24" s="91"/>
      <c r="P24" s="91"/>
      <c r="Q24" s="91"/>
      <c r="R24" s="91"/>
      <c r="S24" s="91"/>
      <c r="T24" s="91"/>
    </row>
    <row r="25" spans="1:20" ht="15">
      <c r="A25" s="116"/>
      <c r="B25" s="117"/>
      <c r="C25" s="123" t="s">
        <v>210</v>
      </c>
      <c r="D25" s="124">
        <f aca="true" t="shared" si="7" ref="D25:L25">SUM(D23:D24)</f>
        <v>154214247</v>
      </c>
      <c r="E25" s="124">
        <f t="shared" si="7"/>
        <v>8467655</v>
      </c>
      <c r="F25" s="124">
        <f t="shared" si="7"/>
        <v>2836505</v>
      </c>
      <c r="G25" s="124">
        <f t="shared" si="7"/>
        <v>159845397</v>
      </c>
      <c r="H25" s="124">
        <f t="shared" si="7"/>
        <v>94641011</v>
      </c>
      <c r="I25" s="124">
        <f>SUM(I23:I24)</f>
        <v>10942686.668668853</v>
      </c>
      <c r="J25" s="124">
        <f t="shared" si="7"/>
        <v>1257376</v>
      </c>
      <c r="K25" s="124">
        <f t="shared" si="7"/>
        <v>104326321.66866885</v>
      </c>
      <c r="L25" s="124">
        <f t="shared" si="7"/>
        <v>55519075.33133115</v>
      </c>
      <c r="M25" s="129">
        <f>+M23+M24</f>
        <v>59573236</v>
      </c>
      <c r="N25" s="91"/>
      <c r="O25" s="91"/>
      <c r="P25" s="91"/>
      <c r="Q25" s="91"/>
      <c r="R25" s="91"/>
      <c r="S25" s="91"/>
      <c r="T25" s="91"/>
    </row>
    <row r="26" spans="1:20" ht="15">
      <c r="A26" s="101"/>
      <c r="B26" s="130"/>
      <c r="C26" s="131" t="s">
        <v>211</v>
      </c>
      <c r="D26" s="132">
        <v>145103700</v>
      </c>
      <c r="E26" s="133">
        <v>10420855</v>
      </c>
      <c r="F26" s="133">
        <v>1310308</v>
      </c>
      <c r="G26" s="133">
        <f>+D26+E26-F26</f>
        <v>154214247</v>
      </c>
      <c r="H26" s="132">
        <v>86088991</v>
      </c>
      <c r="I26" s="134">
        <v>9180161</v>
      </c>
      <c r="J26" s="135">
        <v>628141</v>
      </c>
      <c r="K26" s="133">
        <v>94641011</v>
      </c>
      <c r="L26" s="134">
        <v>59573236</v>
      </c>
      <c r="M26" s="136">
        <v>59014709</v>
      </c>
      <c r="N26" s="91"/>
      <c r="O26" s="91"/>
      <c r="P26" s="91"/>
      <c r="Q26" s="91"/>
      <c r="R26" s="91"/>
      <c r="S26" s="91"/>
      <c r="T26" s="91"/>
    </row>
    <row r="27" spans="1:20" ht="15.75" thickBot="1">
      <c r="A27" s="137"/>
      <c r="B27" s="138"/>
      <c r="C27" s="138"/>
      <c r="D27" s="138"/>
      <c r="E27" s="138"/>
      <c r="F27" s="138"/>
      <c r="G27" s="138"/>
      <c r="H27" s="138"/>
      <c r="I27" s="138"/>
      <c r="J27" s="138"/>
      <c r="K27" s="138"/>
      <c r="L27" s="138"/>
      <c r="M27" s="139"/>
      <c r="N27" s="91"/>
      <c r="O27" s="91"/>
      <c r="P27" s="91"/>
      <c r="Q27" s="91"/>
      <c r="R27" s="91"/>
      <c r="S27" s="91"/>
      <c r="T27" s="91"/>
    </row>
    <row r="28" spans="1:20" ht="15">
      <c r="A28" s="140"/>
      <c r="B28" s="140"/>
      <c r="C28" s="37"/>
      <c r="D28" s="91"/>
      <c r="E28" s="91"/>
      <c r="F28" s="91"/>
      <c r="G28" s="91"/>
      <c r="H28" s="91"/>
      <c r="I28" s="91"/>
      <c r="J28" s="91"/>
      <c r="K28" s="91"/>
      <c r="L28" s="91"/>
      <c r="M28" s="91"/>
      <c r="N28" s="91"/>
      <c r="O28" s="91"/>
      <c r="P28" s="91"/>
      <c r="Q28" s="91"/>
      <c r="R28" s="91"/>
      <c r="S28" s="91"/>
      <c r="T28" s="91"/>
    </row>
    <row r="29" spans="1:20" ht="15">
      <c r="A29" s="91"/>
      <c r="B29" s="91"/>
      <c r="C29" s="97"/>
      <c r="D29" s="97"/>
      <c r="E29" s="141"/>
      <c r="F29" s="142"/>
      <c r="G29" s="142"/>
      <c r="H29" s="143"/>
      <c r="I29" s="144"/>
      <c r="J29" s="91"/>
      <c r="K29" s="91"/>
      <c r="L29" s="91"/>
      <c r="M29" s="91"/>
      <c r="N29" s="91"/>
      <c r="O29" s="91"/>
      <c r="P29" s="91"/>
      <c r="Q29" s="91"/>
      <c r="R29" s="91"/>
      <c r="S29" s="91"/>
      <c r="T29" s="91"/>
    </row>
    <row r="30" spans="1:20" ht="15">
      <c r="A30" s="91"/>
      <c r="B30" s="91"/>
      <c r="C30" s="97"/>
      <c r="D30" s="97"/>
      <c r="E30" s="97"/>
      <c r="F30" s="97"/>
      <c r="G30" s="97"/>
      <c r="H30" s="91"/>
      <c r="I30" s="91"/>
      <c r="J30" s="91"/>
      <c r="K30" s="91"/>
      <c r="L30" s="91"/>
      <c r="M30" s="91"/>
      <c r="N30" s="91"/>
      <c r="O30" s="91"/>
      <c r="P30" s="91">
        <v>30</v>
      </c>
      <c r="Q30" s="145"/>
      <c r="R30" s="91"/>
      <c r="S30" s="91"/>
      <c r="T30" s="91"/>
    </row>
    <row r="31" spans="1:20" ht="15">
      <c r="A31" s="91"/>
      <c r="B31" s="91"/>
      <c r="C31" s="97"/>
      <c r="D31" s="91"/>
      <c r="E31" s="91"/>
      <c r="F31" s="91"/>
      <c r="G31" s="91"/>
      <c r="H31" s="91"/>
      <c r="I31" s="91"/>
      <c r="J31" s="91"/>
      <c r="K31" s="91"/>
      <c r="L31" s="91"/>
      <c r="M31" s="91"/>
      <c r="N31" s="91"/>
      <c r="O31" s="91"/>
      <c r="P31" s="91">
        <v>31</v>
      </c>
      <c r="Q31" s="145"/>
      <c r="R31" s="91"/>
      <c r="S31" s="91"/>
      <c r="T31" s="91"/>
    </row>
    <row r="32" spans="1:20" ht="15">
      <c r="A32" s="91"/>
      <c r="B32" s="91"/>
      <c r="C32" s="91"/>
      <c r="D32" s="91"/>
      <c r="E32" s="91"/>
      <c r="F32" s="91"/>
      <c r="G32" s="91"/>
      <c r="H32" s="91"/>
      <c r="I32" s="91"/>
      <c r="J32" s="91"/>
      <c r="K32" s="91"/>
      <c r="L32" s="91"/>
      <c r="M32" s="91"/>
      <c r="N32" s="91"/>
      <c r="O32" s="91"/>
      <c r="P32" s="91">
        <v>30</v>
      </c>
      <c r="Q32" s="145"/>
      <c r="R32" s="91"/>
      <c r="S32" s="91"/>
      <c r="T32" s="91"/>
    </row>
    <row r="33" spans="1:20" ht="15">
      <c r="A33" s="91"/>
      <c r="B33" s="91"/>
      <c r="C33" s="91"/>
      <c r="D33" s="91"/>
      <c r="E33" s="91"/>
      <c r="F33" s="91"/>
      <c r="G33" s="91"/>
      <c r="H33" s="91"/>
      <c r="I33" s="91"/>
      <c r="J33" s="91"/>
      <c r="K33" s="91"/>
      <c r="L33" s="91"/>
      <c r="M33" s="91"/>
      <c r="N33" s="91"/>
      <c r="O33" s="91"/>
      <c r="P33" s="91">
        <v>31</v>
      </c>
      <c r="Q33" s="145"/>
      <c r="R33" s="91"/>
      <c r="S33" s="91"/>
      <c r="T33" s="91"/>
    </row>
    <row r="34" spans="1:20" ht="15">
      <c r="A34" s="91"/>
      <c r="B34" s="91"/>
      <c r="C34" s="36"/>
      <c r="D34" s="146"/>
      <c r="E34" s="146" t="s">
        <v>212</v>
      </c>
      <c r="F34" s="147" t="s">
        <v>213</v>
      </c>
      <c r="G34" s="147"/>
      <c r="H34" s="148"/>
      <c r="I34" s="147" t="s">
        <v>214</v>
      </c>
      <c r="J34" s="147"/>
      <c r="K34" s="147" t="s">
        <v>215</v>
      </c>
      <c r="L34" s="146"/>
      <c r="M34" s="148" t="s">
        <v>216</v>
      </c>
      <c r="N34" s="148" t="s">
        <v>217</v>
      </c>
      <c r="O34" s="91"/>
      <c r="P34" s="91">
        <v>31</v>
      </c>
      <c r="Q34" s="91"/>
      <c r="R34" s="145"/>
      <c r="S34" s="91" t="s">
        <v>218</v>
      </c>
      <c r="T34" s="91"/>
    </row>
    <row r="35" spans="1:20" ht="15">
      <c r="A35" s="91"/>
      <c r="B35" s="91"/>
      <c r="C35" s="36"/>
      <c r="D35" s="146"/>
      <c r="E35" s="146"/>
      <c r="F35" s="146"/>
      <c r="G35" s="146"/>
      <c r="H35" s="146"/>
      <c r="I35" s="146"/>
      <c r="J35" s="146"/>
      <c r="K35" s="146"/>
      <c r="L35" s="146"/>
      <c r="M35" s="146"/>
      <c r="N35" s="146"/>
      <c r="O35" s="91"/>
      <c r="P35" s="91">
        <v>30</v>
      </c>
      <c r="Q35" s="91"/>
      <c r="R35" s="91"/>
      <c r="S35" s="91" t="s">
        <v>498</v>
      </c>
      <c r="T35" s="91"/>
    </row>
    <row r="36" spans="1:20" ht="15">
      <c r="A36" s="91"/>
      <c r="B36" s="91"/>
      <c r="C36" s="36">
        <v>1</v>
      </c>
      <c r="D36" s="147" t="s">
        <v>331</v>
      </c>
      <c r="E36" s="146">
        <v>0</v>
      </c>
      <c r="F36" s="146">
        <f>+D9</f>
        <v>423542</v>
      </c>
      <c r="G36" s="146"/>
      <c r="H36" s="146"/>
      <c r="I36" s="146">
        <v>0</v>
      </c>
      <c r="J36" s="146"/>
      <c r="K36" s="146">
        <v>0</v>
      </c>
      <c r="L36" s="146"/>
      <c r="M36" s="146"/>
      <c r="N36" s="146">
        <f>+I36+M36</f>
        <v>0</v>
      </c>
      <c r="O36" s="91"/>
      <c r="P36" s="91">
        <v>31</v>
      </c>
      <c r="Q36" s="91"/>
      <c r="R36" s="91"/>
      <c r="S36" s="91"/>
      <c r="T36" s="91"/>
    </row>
    <row r="37" spans="1:20" ht="15">
      <c r="A37" s="91"/>
      <c r="B37" s="91"/>
      <c r="C37" s="36">
        <f>+C36+1</f>
        <v>2</v>
      </c>
      <c r="D37" s="147" t="s">
        <v>493</v>
      </c>
      <c r="E37" s="149">
        <v>0.0334</v>
      </c>
      <c r="F37" s="146">
        <f>+D10</f>
        <v>15568120</v>
      </c>
      <c r="G37" s="146"/>
      <c r="H37" s="146"/>
      <c r="I37" s="150">
        <f aca="true" t="shared" si="8" ref="I37:I55">+ROUND(F37*E37,0)</f>
        <v>519975</v>
      </c>
      <c r="J37" s="146"/>
      <c r="K37" s="151">
        <f>+F82</f>
        <v>2341610</v>
      </c>
      <c r="L37" s="146"/>
      <c r="M37" s="146">
        <f>+I82</f>
        <v>0</v>
      </c>
      <c r="N37" s="146">
        <f>+I37+M37</f>
        <v>519975</v>
      </c>
      <c r="O37" s="91"/>
      <c r="P37" s="91">
        <v>30</v>
      </c>
      <c r="Q37" s="91"/>
      <c r="R37" s="91"/>
      <c r="S37" s="91"/>
      <c r="T37" s="91"/>
    </row>
    <row r="38" spans="1:20" ht="15">
      <c r="A38" s="91"/>
      <c r="B38" s="91"/>
      <c r="C38" s="36">
        <f aca="true" t="shared" si="9" ref="C38:C43">+C37+1</f>
        <v>3</v>
      </c>
      <c r="D38" s="147" t="s">
        <v>499</v>
      </c>
      <c r="E38" s="149">
        <v>0.0163</v>
      </c>
      <c r="F38" s="146">
        <f>+D11</f>
        <v>788145</v>
      </c>
      <c r="G38" s="146"/>
      <c r="H38" s="146"/>
      <c r="I38" s="150">
        <f t="shared" si="8"/>
        <v>12847</v>
      </c>
      <c r="J38" s="146"/>
      <c r="K38" s="146">
        <f>+F94</f>
        <v>0</v>
      </c>
      <c r="L38" s="146"/>
      <c r="M38" s="146">
        <f>+I94</f>
        <v>0</v>
      </c>
      <c r="N38" s="146">
        <f>+I38+M38</f>
        <v>12847</v>
      </c>
      <c r="O38" s="91"/>
      <c r="P38" s="91">
        <v>31</v>
      </c>
      <c r="Q38" s="91"/>
      <c r="R38" s="91"/>
      <c r="S38" s="91"/>
      <c r="T38" s="91"/>
    </row>
    <row r="39" spans="1:20" ht="15">
      <c r="A39" s="91"/>
      <c r="B39" s="91"/>
      <c r="C39" s="36">
        <f t="shared" si="9"/>
        <v>4</v>
      </c>
      <c r="D39" s="147" t="s">
        <v>363</v>
      </c>
      <c r="E39" s="149">
        <v>0.0742</v>
      </c>
      <c r="F39" s="146">
        <v>59421745</v>
      </c>
      <c r="G39" s="146">
        <v>0</v>
      </c>
      <c r="H39" s="146"/>
      <c r="I39" s="152">
        <f t="shared" si="8"/>
        <v>4409093</v>
      </c>
      <c r="J39" s="146"/>
      <c r="K39" s="146">
        <f>+F121</f>
        <v>1840245</v>
      </c>
      <c r="L39" s="146"/>
      <c r="M39" s="153">
        <f>+I121</f>
        <v>32538</v>
      </c>
      <c r="N39" s="153">
        <f>+I39+M39</f>
        <v>4441631</v>
      </c>
      <c r="O39" s="91"/>
      <c r="P39">
        <f>SUM(P30:P38)</f>
        <v>275</v>
      </c>
      <c r="Q39" s="91"/>
      <c r="R39" s="91"/>
      <c r="S39" s="91"/>
      <c r="T39" s="91"/>
    </row>
    <row r="40" spans="1:20" ht="15">
      <c r="A40" s="91"/>
      <c r="B40" s="91"/>
      <c r="C40" s="36">
        <f t="shared" si="9"/>
        <v>5</v>
      </c>
      <c r="D40" s="147" t="s">
        <v>498</v>
      </c>
      <c r="E40" s="149">
        <v>0.1131</v>
      </c>
      <c r="F40" s="146">
        <f>18363452+2673270</f>
        <v>21036722</v>
      </c>
      <c r="G40" s="146">
        <v>0</v>
      </c>
      <c r="H40" s="146"/>
      <c r="I40" s="152">
        <f t="shared" si="8"/>
        <v>2379253</v>
      </c>
      <c r="J40" s="146"/>
      <c r="K40" s="146">
        <f>+F145</f>
        <v>2343775</v>
      </c>
      <c r="L40" s="146"/>
      <c r="M40" s="153">
        <f>+I145</f>
        <v>110792</v>
      </c>
      <c r="N40" s="153">
        <f aca="true" t="shared" si="10" ref="N40:N55">+I40+M40</f>
        <v>2490045</v>
      </c>
      <c r="O40" s="91"/>
      <c r="Q40" s="91"/>
      <c r="R40" s="91"/>
      <c r="S40" s="91"/>
      <c r="T40" s="91"/>
    </row>
    <row r="41" spans="1:20" ht="15">
      <c r="A41" s="91"/>
      <c r="B41" s="91"/>
      <c r="C41" s="36">
        <f t="shared" si="9"/>
        <v>6</v>
      </c>
      <c r="D41" s="147" t="s">
        <v>219</v>
      </c>
      <c r="E41" s="149">
        <v>0.0528</v>
      </c>
      <c r="F41" s="146">
        <v>4771069</v>
      </c>
      <c r="G41" s="146"/>
      <c r="H41" s="146"/>
      <c r="I41" s="152">
        <f t="shared" si="8"/>
        <v>251912</v>
      </c>
      <c r="J41" s="146"/>
      <c r="K41" s="146">
        <f>+F158</f>
        <v>0</v>
      </c>
      <c r="L41" s="146"/>
      <c r="M41" s="153">
        <f>+I158</f>
        <v>0</v>
      </c>
      <c r="N41" s="153">
        <f>+I41+M41</f>
        <v>251912</v>
      </c>
      <c r="O41" s="91"/>
      <c r="Q41" s="91"/>
      <c r="R41" s="91"/>
      <c r="S41" s="91"/>
      <c r="T41" s="91"/>
    </row>
    <row r="42" spans="1:20" ht="15">
      <c r="A42" s="91"/>
      <c r="B42" s="91"/>
      <c r="C42" s="36">
        <f t="shared" si="9"/>
        <v>7</v>
      </c>
      <c r="D42" s="147" t="s">
        <v>60</v>
      </c>
      <c r="E42" s="149">
        <v>0.0475</v>
      </c>
      <c r="F42" s="146">
        <f>+F167</f>
        <v>2760509</v>
      </c>
      <c r="G42" s="146"/>
      <c r="H42" s="146"/>
      <c r="I42" s="152">
        <f t="shared" si="8"/>
        <v>131124</v>
      </c>
      <c r="J42" s="146"/>
      <c r="K42" s="146">
        <v>0</v>
      </c>
      <c r="L42" s="146"/>
      <c r="M42" s="153">
        <v>0</v>
      </c>
      <c r="N42" s="153">
        <f t="shared" si="10"/>
        <v>131124</v>
      </c>
      <c r="O42" s="91"/>
      <c r="P42" s="91" t="s">
        <v>61</v>
      </c>
      <c r="Q42" s="91"/>
      <c r="R42" s="91"/>
      <c r="S42" s="97"/>
      <c r="T42" s="91"/>
    </row>
    <row r="43" spans="1:20" ht="15">
      <c r="A43" s="91"/>
      <c r="B43" s="91"/>
      <c r="C43" s="36">
        <f t="shared" si="9"/>
        <v>8</v>
      </c>
      <c r="D43" s="147" t="s">
        <v>62</v>
      </c>
      <c r="E43" s="149">
        <v>0.0475</v>
      </c>
      <c r="F43" s="146">
        <f>+F168</f>
        <v>231963</v>
      </c>
      <c r="G43" s="146"/>
      <c r="H43" s="146"/>
      <c r="I43" s="152">
        <f t="shared" si="8"/>
        <v>11018</v>
      </c>
      <c r="J43" s="146"/>
      <c r="K43" s="146">
        <v>0</v>
      </c>
      <c r="L43" s="146"/>
      <c r="M43" s="153">
        <v>0</v>
      </c>
      <c r="N43" s="153">
        <f t="shared" si="10"/>
        <v>11018</v>
      </c>
      <c r="O43" s="91"/>
      <c r="P43" s="91"/>
      <c r="Q43" s="91"/>
      <c r="R43" s="91"/>
      <c r="S43" s="91"/>
      <c r="T43" s="91"/>
    </row>
    <row r="44" spans="1:20" ht="15">
      <c r="A44" s="91"/>
      <c r="B44" s="91"/>
      <c r="C44" s="36">
        <f>+C43+1</f>
        <v>9</v>
      </c>
      <c r="D44" s="147" t="s">
        <v>63</v>
      </c>
      <c r="E44" s="149">
        <v>0.0475</v>
      </c>
      <c r="F44" s="146">
        <v>1422026</v>
      </c>
      <c r="G44" s="146"/>
      <c r="H44" s="146"/>
      <c r="I44" s="152">
        <f t="shared" si="8"/>
        <v>67546</v>
      </c>
      <c r="J44" s="146"/>
      <c r="K44" s="146">
        <f>+F175</f>
        <v>0</v>
      </c>
      <c r="L44" s="146"/>
      <c r="M44" s="153">
        <f>+I175</f>
        <v>0</v>
      </c>
      <c r="N44" s="153">
        <f t="shared" si="10"/>
        <v>67546</v>
      </c>
      <c r="O44" s="91"/>
      <c r="P44" s="154">
        <f>+SUM(I39:I44)</f>
        <v>7249946</v>
      </c>
      <c r="Q44" s="144">
        <f>+P44-I12</f>
        <v>-143330</v>
      </c>
      <c r="R44" s="91"/>
      <c r="S44" s="91"/>
      <c r="T44" s="91"/>
    </row>
    <row r="45" spans="1:20" ht="15">
      <c r="A45" s="91"/>
      <c r="B45" s="91"/>
      <c r="C45" s="36">
        <f>+C44+1</f>
        <v>10</v>
      </c>
      <c r="D45" s="147" t="s">
        <v>495</v>
      </c>
      <c r="E45" s="149">
        <v>0.0633</v>
      </c>
      <c r="F45" s="146">
        <f>+D13</f>
        <v>710014</v>
      </c>
      <c r="G45" s="146"/>
      <c r="H45" s="146"/>
      <c r="I45" s="155">
        <f t="shared" si="8"/>
        <v>44944</v>
      </c>
      <c r="J45" s="146"/>
      <c r="K45" s="156">
        <f>+F194</f>
        <v>46260</v>
      </c>
      <c r="L45" s="146"/>
      <c r="M45" s="146">
        <f>+I191</f>
        <v>2185</v>
      </c>
      <c r="N45" s="146">
        <f t="shared" si="10"/>
        <v>47129</v>
      </c>
      <c r="O45" s="91"/>
      <c r="P45" s="91"/>
      <c r="Q45" s="91"/>
      <c r="R45" s="91"/>
      <c r="S45" s="91"/>
      <c r="T45" s="91"/>
    </row>
    <row r="46" spans="1:20" ht="15">
      <c r="A46" s="91"/>
      <c r="B46" s="91"/>
      <c r="C46" s="36">
        <f aca="true" t="shared" si="11" ref="C46:C55">+C45+1</f>
        <v>11</v>
      </c>
      <c r="D46" s="147" t="s">
        <v>364</v>
      </c>
      <c r="E46" s="149">
        <v>0.0475</v>
      </c>
      <c r="F46" s="146">
        <f>+D14</f>
        <v>523151</v>
      </c>
      <c r="G46" s="146"/>
      <c r="H46" s="146"/>
      <c r="I46" s="155">
        <f t="shared" si="8"/>
        <v>24850</v>
      </c>
      <c r="J46" s="146"/>
      <c r="K46" s="156">
        <f>+F209</f>
        <v>268378</v>
      </c>
      <c r="L46" s="146"/>
      <c r="M46" s="146">
        <f>+I209</f>
        <v>6518</v>
      </c>
      <c r="N46" s="146">
        <f t="shared" si="10"/>
        <v>31368</v>
      </c>
      <c r="O46" s="91"/>
      <c r="P46" s="91"/>
      <c r="Q46" s="91"/>
      <c r="R46" s="91"/>
      <c r="S46" s="91"/>
      <c r="T46" s="91"/>
    </row>
    <row r="47" spans="1:20" ht="15">
      <c r="A47" s="91"/>
      <c r="B47" s="91"/>
      <c r="C47" s="36">
        <f t="shared" si="11"/>
        <v>12</v>
      </c>
      <c r="D47" s="147" t="s">
        <v>332</v>
      </c>
      <c r="E47" s="149">
        <v>0.095</v>
      </c>
      <c r="F47" s="146">
        <f>+D15-F49-F48</f>
        <v>6143231</v>
      </c>
      <c r="G47" s="146"/>
      <c r="H47" s="146"/>
      <c r="I47" s="155">
        <f t="shared" si="8"/>
        <v>583607</v>
      </c>
      <c r="J47" s="146"/>
      <c r="K47" s="156">
        <f>+F238</f>
        <v>817630</v>
      </c>
      <c r="L47" s="146"/>
      <c r="M47" s="146">
        <f>+I238</f>
        <v>199</v>
      </c>
      <c r="N47" s="146">
        <f>+I47+M47</f>
        <v>583806</v>
      </c>
      <c r="O47" s="91"/>
      <c r="P47" s="91"/>
      <c r="Q47" s="91"/>
      <c r="R47" s="91"/>
      <c r="S47" s="91"/>
      <c r="T47" s="91"/>
    </row>
    <row r="48" spans="1:20" ht="15">
      <c r="A48" s="91"/>
      <c r="B48" s="91"/>
      <c r="C48" s="36">
        <f t="shared" si="11"/>
        <v>13</v>
      </c>
      <c r="D48" s="147" t="s">
        <v>64</v>
      </c>
      <c r="E48" s="149">
        <v>0.1131</v>
      </c>
      <c r="F48" s="146">
        <f>+F249</f>
        <v>795000</v>
      </c>
      <c r="G48" s="146"/>
      <c r="H48" s="146"/>
      <c r="I48" s="155">
        <f t="shared" si="8"/>
        <v>89915</v>
      </c>
      <c r="J48" s="146"/>
      <c r="K48" s="146">
        <v>0</v>
      </c>
      <c r="L48" s="146"/>
      <c r="M48" s="146">
        <v>0</v>
      </c>
      <c r="N48" s="146">
        <f t="shared" si="10"/>
        <v>89915</v>
      </c>
      <c r="O48" s="91"/>
      <c r="P48" s="91" t="s">
        <v>65</v>
      </c>
      <c r="Q48" s="91"/>
      <c r="R48" s="91"/>
      <c r="S48" s="91"/>
      <c r="T48" s="91"/>
    </row>
    <row r="49" spans="1:20" ht="15">
      <c r="A49" s="91"/>
      <c r="B49" s="91"/>
      <c r="C49" s="36">
        <f t="shared" si="11"/>
        <v>14</v>
      </c>
      <c r="D49" s="147" t="s">
        <v>66</v>
      </c>
      <c r="E49" s="149">
        <v>0.0707</v>
      </c>
      <c r="F49" s="146">
        <v>12055</v>
      </c>
      <c r="G49" s="146"/>
      <c r="H49" s="146"/>
      <c r="I49" s="155">
        <f t="shared" si="8"/>
        <v>852</v>
      </c>
      <c r="J49" s="146"/>
      <c r="K49" s="146">
        <v>0</v>
      </c>
      <c r="L49" s="146"/>
      <c r="M49" s="146">
        <v>0</v>
      </c>
      <c r="N49" s="146">
        <f t="shared" si="10"/>
        <v>852</v>
      </c>
      <c r="O49" s="91"/>
      <c r="P49" s="91"/>
      <c r="Q49" s="91"/>
      <c r="R49" s="91"/>
      <c r="S49" s="91"/>
      <c r="T49" s="91"/>
    </row>
    <row r="50" spans="1:20" ht="15">
      <c r="A50" s="91"/>
      <c r="B50" s="91"/>
      <c r="C50" s="36">
        <f t="shared" si="11"/>
        <v>15</v>
      </c>
      <c r="D50" s="147" t="s">
        <v>365</v>
      </c>
      <c r="E50" s="149">
        <v>0.1621</v>
      </c>
      <c r="F50" s="146">
        <f aca="true" t="shared" si="12" ref="F50:F55">+D16</f>
        <v>1039449</v>
      </c>
      <c r="G50" s="146"/>
      <c r="H50" s="146"/>
      <c r="I50" s="155">
        <f t="shared" si="8"/>
        <v>168495</v>
      </c>
      <c r="J50" s="146"/>
      <c r="K50" s="151">
        <f>+F296</f>
        <v>214406</v>
      </c>
      <c r="L50" s="146"/>
      <c r="M50" s="146">
        <f>+I296</f>
        <v>19228</v>
      </c>
      <c r="N50" s="146">
        <f t="shared" si="10"/>
        <v>187723</v>
      </c>
      <c r="O50" s="91"/>
      <c r="P50" s="91"/>
      <c r="Q50" s="91"/>
      <c r="R50" s="91"/>
      <c r="S50" s="91"/>
      <c r="T50" s="91"/>
    </row>
    <row r="51" spans="1:20" ht="15">
      <c r="A51" s="91"/>
      <c r="B51" s="91"/>
      <c r="C51" s="36">
        <f t="shared" si="11"/>
        <v>16</v>
      </c>
      <c r="D51" s="147" t="s">
        <v>494</v>
      </c>
      <c r="E51" s="149">
        <v>0.0528</v>
      </c>
      <c r="F51" s="146">
        <f t="shared" si="12"/>
        <v>31497070</v>
      </c>
      <c r="G51" s="146"/>
      <c r="H51" s="146"/>
      <c r="I51" s="155">
        <f t="shared" si="8"/>
        <v>1663045</v>
      </c>
      <c r="J51" s="146"/>
      <c r="K51" s="151">
        <f>+F310</f>
        <v>572351</v>
      </c>
      <c r="L51" s="146"/>
      <c r="M51" s="157">
        <f>+I310</f>
        <v>24778.668668852457</v>
      </c>
      <c r="N51" s="146">
        <f t="shared" si="10"/>
        <v>1687823.6686688524</v>
      </c>
      <c r="O51" s="91"/>
      <c r="P51" s="91"/>
      <c r="Q51" s="91"/>
      <c r="R51" s="91"/>
      <c r="S51" s="91"/>
      <c r="T51" s="91"/>
    </row>
    <row r="52" spans="1:20" ht="15">
      <c r="A52" s="91"/>
      <c r="B52" s="91"/>
      <c r="C52" s="36">
        <f>+C51+1</f>
        <v>17</v>
      </c>
      <c r="D52" s="147" t="s">
        <v>67</v>
      </c>
      <c r="E52" s="149">
        <v>0.0742</v>
      </c>
      <c r="F52" s="146">
        <f t="shared" si="12"/>
        <v>1923674</v>
      </c>
      <c r="G52" s="146"/>
      <c r="H52" s="146"/>
      <c r="I52" s="155">
        <f t="shared" si="8"/>
        <v>142737</v>
      </c>
      <c r="J52" s="146"/>
      <c r="K52" s="146">
        <v>0</v>
      </c>
      <c r="L52" s="146"/>
      <c r="M52" s="146">
        <v>0</v>
      </c>
      <c r="N52" s="146">
        <f t="shared" si="10"/>
        <v>142737</v>
      </c>
      <c r="O52" s="91"/>
      <c r="P52" s="91"/>
      <c r="Q52" s="91"/>
      <c r="R52" s="91"/>
      <c r="S52" s="91"/>
      <c r="T52" s="91"/>
    </row>
    <row r="53" spans="1:20" ht="15">
      <c r="A53" s="91"/>
      <c r="B53" s="91"/>
      <c r="C53" s="36">
        <f t="shared" si="11"/>
        <v>18</v>
      </c>
      <c r="D53" s="147" t="s">
        <v>68</v>
      </c>
      <c r="E53" s="149">
        <v>0.0475</v>
      </c>
      <c r="F53" s="158">
        <f>+D19</f>
        <v>1967627</v>
      </c>
      <c r="G53" s="146"/>
      <c r="H53" s="146"/>
      <c r="I53" s="155">
        <f t="shared" si="8"/>
        <v>93462</v>
      </c>
      <c r="J53" s="146"/>
      <c r="K53" s="146">
        <f>+F342</f>
        <v>0</v>
      </c>
      <c r="L53" s="146"/>
      <c r="M53" s="146">
        <f>+I342</f>
        <v>0</v>
      </c>
      <c r="N53" s="146">
        <f t="shared" si="10"/>
        <v>93462</v>
      </c>
      <c r="O53" s="91"/>
      <c r="P53" s="91"/>
      <c r="Q53" s="91"/>
      <c r="R53" s="91"/>
      <c r="S53" s="91"/>
      <c r="T53" s="91"/>
    </row>
    <row r="54" spans="1:20" ht="15">
      <c r="A54" s="91"/>
      <c r="B54" s="91"/>
      <c r="C54" s="36">
        <f t="shared" si="11"/>
        <v>19</v>
      </c>
      <c r="D54" s="147" t="s">
        <v>496</v>
      </c>
      <c r="E54" s="149">
        <v>0.0475</v>
      </c>
      <c r="F54" s="146">
        <f t="shared" si="12"/>
        <v>2550959</v>
      </c>
      <c r="G54" s="146"/>
      <c r="H54" s="146"/>
      <c r="I54" s="155">
        <f t="shared" si="8"/>
        <v>121171</v>
      </c>
      <c r="J54" s="146"/>
      <c r="K54" s="146">
        <v>0</v>
      </c>
      <c r="L54" s="146"/>
      <c r="M54" s="146">
        <v>0</v>
      </c>
      <c r="N54" s="146">
        <f t="shared" si="10"/>
        <v>121171</v>
      </c>
      <c r="O54" s="91"/>
      <c r="P54" s="91"/>
      <c r="Q54" s="91"/>
      <c r="R54" s="91"/>
      <c r="S54" s="91"/>
      <c r="T54" s="91"/>
    </row>
    <row r="55" spans="1:20" ht="15">
      <c r="A55" s="91"/>
      <c r="B55" s="91"/>
      <c r="C55" s="36">
        <f t="shared" si="11"/>
        <v>20</v>
      </c>
      <c r="D55" s="147" t="s">
        <v>500</v>
      </c>
      <c r="E55" s="149">
        <v>0.0475</v>
      </c>
      <c r="F55" s="146">
        <f t="shared" si="12"/>
        <v>628176</v>
      </c>
      <c r="G55" s="146"/>
      <c r="H55" s="146"/>
      <c r="I55" s="155">
        <f t="shared" si="8"/>
        <v>29838</v>
      </c>
      <c r="J55" s="146"/>
      <c r="K55" s="156">
        <f>+F368</f>
        <v>23000</v>
      </c>
      <c r="L55" s="146"/>
      <c r="M55" s="146">
        <f>+I368</f>
        <v>764</v>
      </c>
      <c r="N55" s="146">
        <f t="shared" si="10"/>
        <v>30602</v>
      </c>
      <c r="O55" s="91"/>
      <c r="P55" s="91"/>
      <c r="Q55" s="91"/>
      <c r="R55" s="97"/>
      <c r="S55" s="97"/>
      <c r="T55" s="91"/>
    </row>
    <row r="56" spans="1:20" ht="15">
      <c r="A56" s="91"/>
      <c r="B56" s="91"/>
      <c r="C56" s="36"/>
      <c r="D56" s="147"/>
      <c r="E56" s="149"/>
      <c r="F56" s="146"/>
      <c r="G56" s="146"/>
      <c r="H56" s="146"/>
      <c r="I56" s="155"/>
      <c r="J56" s="146"/>
      <c r="K56" s="146"/>
      <c r="L56" s="146"/>
      <c r="M56" s="146"/>
      <c r="N56" s="146"/>
      <c r="O56" s="91"/>
      <c r="P56" s="91"/>
      <c r="Q56" s="91"/>
      <c r="R56" s="97"/>
      <c r="S56" s="97"/>
      <c r="T56" s="91"/>
    </row>
    <row r="57" spans="1:20" ht="15.75" thickBot="1">
      <c r="A57" s="91"/>
      <c r="B57" s="91"/>
      <c r="C57" s="36"/>
      <c r="D57" s="146" t="s">
        <v>367</v>
      </c>
      <c r="E57" s="146"/>
      <c r="F57" s="146">
        <f>SUM(F36:F55)</f>
        <v>154214247</v>
      </c>
      <c r="G57" s="146">
        <f>SUM(G36:G55)</f>
        <v>0</v>
      </c>
      <c r="H57" s="147"/>
      <c r="I57" s="155">
        <f>SUM(I36:I55)</f>
        <v>10745684</v>
      </c>
      <c r="J57" s="146"/>
      <c r="K57" s="147">
        <f>SUM(K36:K55)</f>
        <v>8467655</v>
      </c>
      <c r="L57" s="146"/>
      <c r="M57" s="159">
        <f>SUM(M36:M55)</f>
        <v>197002.66866885245</v>
      </c>
      <c r="N57" s="147">
        <f>SUM(N36:N55)</f>
        <v>10942686.668668853</v>
      </c>
      <c r="O57" s="160"/>
      <c r="P57" s="91"/>
      <c r="Q57" s="91"/>
      <c r="R57" s="91"/>
      <c r="S57" s="91"/>
      <c r="T57" s="91"/>
    </row>
    <row r="58" spans="1:20" ht="15.75" thickTop="1">
      <c r="A58" s="91"/>
      <c r="B58" s="91"/>
      <c r="C58" s="91"/>
      <c r="D58" s="161"/>
      <c r="E58" s="161"/>
      <c r="F58" s="161">
        <f>+D23</f>
        <v>154214247</v>
      </c>
      <c r="G58" s="161"/>
      <c r="H58" s="161"/>
      <c r="I58" s="161"/>
      <c r="J58" s="161"/>
      <c r="K58" s="161"/>
      <c r="L58" s="161"/>
      <c r="M58" s="161"/>
      <c r="N58" s="162">
        <f>+I23</f>
        <v>10942686.668668853</v>
      </c>
      <c r="O58" s="91"/>
      <c r="P58" s="91"/>
      <c r="Q58" s="91"/>
      <c r="R58" s="91"/>
      <c r="S58" s="91"/>
      <c r="T58" s="91"/>
    </row>
    <row r="59" spans="1:20" ht="15">
      <c r="A59" s="91"/>
      <c r="B59" s="91"/>
      <c r="C59" s="91"/>
      <c r="D59" s="161"/>
      <c r="E59" s="161"/>
      <c r="F59" s="161"/>
      <c r="G59" s="161"/>
      <c r="H59" s="161"/>
      <c r="I59" s="161"/>
      <c r="J59" s="161"/>
      <c r="K59" s="161"/>
      <c r="L59" s="161"/>
      <c r="M59" s="161"/>
      <c r="N59" s="162">
        <f>+N57-N58</f>
        <v>0</v>
      </c>
      <c r="O59" s="91"/>
      <c r="P59" s="91"/>
      <c r="Q59" s="91"/>
      <c r="R59" s="91"/>
      <c r="S59" s="91"/>
      <c r="T59" s="91"/>
    </row>
    <row r="60" spans="1:20" ht="15">
      <c r="A60" s="91"/>
      <c r="B60" s="91"/>
      <c r="C60" s="91"/>
      <c r="D60" s="91"/>
      <c r="E60" s="91"/>
      <c r="F60" s="91">
        <f>+F57-F58</f>
        <v>0</v>
      </c>
      <c r="G60" s="91"/>
      <c r="H60" s="91"/>
      <c r="I60" s="144"/>
      <c r="J60" s="91"/>
      <c r="K60" s="144">
        <f>+K57+G24</f>
        <v>8467655</v>
      </c>
      <c r="L60" s="91">
        <f>+K60</f>
        <v>8467655</v>
      </c>
      <c r="M60" s="91">
        <f>+L60-K60</f>
        <v>0</v>
      </c>
      <c r="N60" s="163">
        <f>+N57-N58-N59</f>
        <v>0</v>
      </c>
      <c r="O60" s="91"/>
      <c r="P60" s="91"/>
      <c r="Q60" s="91"/>
      <c r="R60" s="91"/>
      <c r="S60" s="91"/>
      <c r="T60" s="91"/>
    </row>
    <row r="61" spans="1:20" ht="15">
      <c r="A61" s="91"/>
      <c r="B61" s="91"/>
      <c r="C61" s="91"/>
      <c r="D61" s="91" t="s">
        <v>69</v>
      </c>
      <c r="E61" s="91"/>
      <c r="F61" s="91"/>
      <c r="G61" s="91"/>
      <c r="H61" s="91"/>
      <c r="I61" s="144"/>
      <c r="J61" s="91"/>
      <c r="K61" s="91"/>
      <c r="L61" s="91">
        <f>+K60-L60</f>
        <v>0</v>
      </c>
      <c r="M61" s="91"/>
      <c r="N61" s="91"/>
      <c r="O61" s="91"/>
      <c r="P61" s="91"/>
      <c r="Q61" s="91"/>
      <c r="R61" s="91"/>
      <c r="S61" s="91"/>
      <c r="T61" s="91"/>
    </row>
    <row r="62" spans="1:20" ht="15">
      <c r="A62" s="91"/>
      <c r="B62" s="91"/>
      <c r="C62" s="91"/>
      <c r="D62" s="91"/>
      <c r="E62" s="91"/>
      <c r="F62" s="91"/>
      <c r="G62" s="91"/>
      <c r="H62" s="91"/>
      <c r="I62" s="91"/>
      <c r="J62" s="91"/>
      <c r="K62" s="91"/>
      <c r="L62" s="91"/>
      <c r="M62" s="91"/>
      <c r="N62" s="91"/>
      <c r="O62" s="91"/>
      <c r="P62" s="91"/>
      <c r="Q62" s="91"/>
      <c r="R62" s="91"/>
      <c r="S62" s="91"/>
      <c r="T62" s="91"/>
    </row>
    <row r="63" spans="1:20" ht="15">
      <c r="A63" s="91"/>
      <c r="B63" s="91"/>
      <c r="C63" s="91"/>
      <c r="D63" s="91" t="s">
        <v>70</v>
      </c>
      <c r="E63" s="91"/>
      <c r="F63" s="164">
        <v>40999</v>
      </c>
      <c r="G63" s="91"/>
      <c r="H63" s="91"/>
      <c r="I63" s="91"/>
      <c r="J63" s="91"/>
      <c r="K63" s="91"/>
      <c r="L63" s="91"/>
      <c r="M63" s="91"/>
      <c r="N63" s="91"/>
      <c r="O63" s="91"/>
      <c r="P63" s="91"/>
      <c r="Q63" s="91"/>
      <c r="R63" s="91"/>
      <c r="S63" s="91"/>
      <c r="T63" s="91"/>
    </row>
    <row r="64" spans="1:20" ht="15">
      <c r="A64" s="91"/>
      <c r="B64" s="91"/>
      <c r="C64" s="91"/>
      <c r="D64" s="91"/>
      <c r="E64" s="91"/>
      <c r="F64" s="91"/>
      <c r="G64" s="91"/>
      <c r="H64" s="91"/>
      <c r="I64" s="91"/>
      <c r="J64" s="91"/>
      <c r="K64" s="91"/>
      <c r="L64" s="91"/>
      <c r="M64" s="91"/>
      <c r="N64" s="91"/>
      <c r="O64" s="91"/>
      <c r="P64" s="91"/>
      <c r="Q64" s="91"/>
      <c r="R64" s="91"/>
      <c r="S64" s="91"/>
      <c r="T64" s="91"/>
    </row>
    <row r="65" spans="1:20" ht="15">
      <c r="A65" s="91"/>
      <c r="B65" s="91"/>
      <c r="C65" s="91"/>
      <c r="D65" s="97" t="s">
        <v>215</v>
      </c>
      <c r="E65" s="165" t="s">
        <v>71</v>
      </c>
      <c r="F65" s="91" t="s">
        <v>72</v>
      </c>
      <c r="G65" s="91" t="s">
        <v>73</v>
      </c>
      <c r="H65" s="91" t="s">
        <v>74</v>
      </c>
      <c r="I65" s="91" t="s">
        <v>366</v>
      </c>
      <c r="J65" s="91"/>
      <c r="K65" s="91" t="s">
        <v>75</v>
      </c>
      <c r="L65" s="91" t="s">
        <v>76</v>
      </c>
      <c r="M65" s="91"/>
      <c r="N65" s="91"/>
      <c r="O65" s="91"/>
      <c r="P65" s="91"/>
      <c r="Q65" s="91"/>
      <c r="R65" s="91"/>
      <c r="S65" s="91"/>
      <c r="T65" s="91"/>
    </row>
    <row r="66" spans="1:20" ht="15">
      <c r="A66" s="91"/>
      <c r="B66" s="91"/>
      <c r="C66" s="91"/>
      <c r="D66" s="166" t="s">
        <v>77</v>
      </c>
      <c r="E66" s="167">
        <f>+E37</f>
        <v>0.0334</v>
      </c>
      <c r="F66" s="91"/>
      <c r="G66" s="91"/>
      <c r="H66" s="91"/>
      <c r="I66" s="91"/>
      <c r="J66" s="91"/>
      <c r="K66" s="91"/>
      <c r="L66" s="91"/>
      <c r="M66" s="91"/>
      <c r="N66" s="91"/>
      <c r="O66" s="91"/>
      <c r="P66" s="91"/>
      <c r="Q66" s="91"/>
      <c r="R66" s="91"/>
      <c r="S66" s="91"/>
      <c r="T66" s="91"/>
    </row>
    <row r="67" spans="1:20" ht="15">
      <c r="A67" s="91"/>
      <c r="B67" s="91"/>
      <c r="C67" s="91"/>
      <c r="D67" s="168" t="s">
        <v>318</v>
      </c>
      <c r="E67" s="91"/>
      <c r="F67" s="169">
        <f>+F37</f>
        <v>15568120</v>
      </c>
      <c r="G67" s="170">
        <v>40634</v>
      </c>
      <c r="H67" s="171">
        <f>+$F$63-G67+1</f>
        <v>366</v>
      </c>
      <c r="I67" s="171">
        <f>+ROUND(F67*E66*H67/366,0)</f>
        <v>519975</v>
      </c>
      <c r="J67" s="91"/>
      <c r="K67" s="91"/>
      <c r="L67" s="91"/>
      <c r="M67" s="91"/>
      <c r="N67" s="91"/>
      <c r="O67" s="91"/>
      <c r="P67" s="91"/>
      <c r="Q67" s="91"/>
      <c r="R67" s="91"/>
      <c r="S67" s="91"/>
      <c r="T67" s="91"/>
    </row>
    <row r="68" spans="1:20" ht="15">
      <c r="A68" s="91"/>
      <c r="B68" s="91"/>
      <c r="C68" s="91"/>
      <c r="D68" s="161" t="s">
        <v>78</v>
      </c>
      <c r="E68" s="167"/>
      <c r="F68" s="91"/>
      <c r="G68" s="91"/>
      <c r="H68" s="91"/>
      <c r="I68" s="91"/>
      <c r="J68" s="91"/>
      <c r="K68" s="91"/>
      <c r="L68" s="91"/>
      <c r="M68" s="91"/>
      <c r="N68" s="91"/>
      <c r="O68" s="91"/>
      <c r="P68" s="91"/>
      <c r="Q68" s="91"/>
      <c r="R68" s="91"/>
      <c r="S68" s="91"/>
      <c r="T68" s="91"/>
    </row>
    <row r="69" spans="1:20" ht="15">
      <c r="A69" s="91"/>
      <c r="B69" s="91"/>
      <c r="C69" s="91"/>
      <c r="D69" s="161" t="s">
        <v>79</v>
      </c>
      <c r="E69" s="167"/>
      <c r="F69" s="91">
        <v>0</v>
      </c>
      <c r="G69" s="164">
        <v>40663</v>
      </c>
      <c r="H69" s="172">
        <f>+$F$63-G69</f>
        <v>336</v>
      </c>
      <c r="I69" s="91">
        <f>+ROUND(F69*E69*H69/365,0)</f>
        <v>0</v>
      </c>
      <c r="J69" s="91"/>
      <c r="K69" s="173">
        <f aca="true" t="shared" si="13" ref="K69:K75">+F69</f>
        <v>0</v>
      </c>
      <c r="L69" s="91">
        <f aca="true" t="shared" si="14" ref="L69:L79">+F69</f>
        <v>0</v>
      </c>
      <c r="M69" s="91"/>
      <c r="N69" s="91"/>
      <c r="O69" s="91"/>
      <c r="P69" s="91"/>
      <c r="Q69" s="91"/>
      <c r="R69" s="91"/>
      <c r="S69" s="91"/>
      <c r="T69" s="91"/>
    </row>
    <row r="70" spans="1:20" ht="15">
      <c r="A70" s="91"/>
      <c r="B70" s="91"/>
      <c r="C70" s="91"/>
      <c r="D70" s="161" t="s">
        <v>80</v>
      </c>
      <c r="E70" s="167"/>
      <c r="F70" s="91">
        <v>0</v>
      </c>
      <c r="G70" s="164">
        <v>40694</v>
      </c>
      <c r="H70" s="172">
        <f>+$F$63-G70</f>
        <v>305</v>
      </c>
      <c r="I70" s="91">
        <f aca="true" t="shared" si="15" ref="I70:I79">+ROUND(F70*E70*H70/365,0)</f>
        <v>0</v>
      </c>
      <c r="J70" s="91"/>
      <c r="K70" s="173">
        <f t="shared" si="13"/>
        <v>0</v>
      </c>
      <c r="L70" s="91">
        <f t="shared" si="14"/>
        <v>0</v>
      </c>
      <c r="M70" s="91"/>
      <c r="N70" s="91"/>
      <c r="O70" s="91"/>
      <c r="P70" s="91"/>
      <c r="Q70" s="91"/>
      <c r="R70" s="91"/>
      <c r="S70" s="91"/>
      <c r="T70" s="91"/>
    </row>
    <row r="71" spans="1:20" ht="15">
      <c r="A71" s="91"/>
      <c r="B71" s="91"/>
      <c r="C71" s="91"/>
      <c r="D71" s="161" t="s">
        <v>81</v>
      </c>
      <c r="E71" s="167"/>
      <c r="F71" s="91">
        <v>0</v>
      </c>
      <c r="G71" s="164">
        <v>40714</v>
      </c>
      <c r="H71" s="172">
        <f>+$F$63-G71</f>
        <v>285</v>
      </c>
      <c r="I71" s="91">
        <f t="shared" si="15"/>
        <v>0</v>
      </c>
      <c r="J71" s="91"/>
      <c r="K71" s="173">
        <f t="shared" si="13"/>
        <v>0</v>
      </c>
      <c r="L71" s="91">
        <f t="shared" si="14"/>
        <v>0</v>
      </c>
      <c r="M71" s="91"/>
      <c r="N71" s="91"/>
      <c r="O71" s="91"/>
      <c r="P71" s="91"/>
      <c r="Q71" s="91"/>
      <c r="R71" s="91"/>
      <c r="S71" s="91"/>
      <c r="T71" s="91"/>
    </row>
    <row r="72" spans="1:20" ht="15">
      <c r="A72" s="91"/>
      <c r="B72" s="91"/>
      <c r="C72" s="91"/>
      <c r="D72" s="91" t="s">
        <v>82</v>
      </c>
      <c r="E72" s="167"/>
      <c r="F72" s="91">
        <v>0</v>
      </c>
      <c r="G72" s="164">
        <v>40744</v>
      </c>
      <c r="H72" s="172">
        <f>+$F$63-G72</f>
        <v>255</v>
      </c>
      <c r="I72" s="91">
        <f t="shared" si="15"/>
        <v>0</v>
      </c>
      <c r="J72" s="91"/>
      <c r="K72" s="173">
        <f t="shared" si="13"/>
        <v>0</v>
      </c>
      <c r="L72" s="91">
        <f t="shared" si="14"/>
        <v>0</v>
      </c>
      <c r="M72" s="91"/>
      <c r="N72" s="91"/>
      <c r="O72" s="91"/>
      <c r="P72" s="91"/>
      <c r="Q72" s="91"/>
      <c r="R72" s="91"/>
      <c r="S72" s="91"/>
      <c r="T72" s="91"/>
    </row>
    <row r="73" spans="1:20" ht="15">
      <c r="A73" s="91"/>
      <c r="B73" s="91"/>
      <c r="C73" s="91"/>
      <c r="D73" s="91" t="s">
        <v>83</v>
      </c>
      <c r="E73" s="167"/>
      <c r="F73" s="91">
        <v>0</v>
      </c>
      <c r="G73" s="164">
        <v>40765</v>
      </c>
      <c r="H73" s="172">
        <f>+$F$63-G73</f>
        <v>234</v>
      </c>
      <c r="I73" s="91">
        <f t="shared" si="15"/>
        <v>0</v>
      </c>
      <c r="J73" s="91"/>
      <c r="K73" s="173">
        <f t="shared" si="13"/>
        <v>0</v>
      </c>
      <c r="L73" s="91">
        <f t="shared" si="14"/>
        <v>0</v>
      </c>
      <c r="M73" s="91"/>
      <c r="N73" s="91"/>
      <c r="O73" s="91"/>
      <c r="P73" s="91"/>
      <c r="Q73" s="91"/>
      <c r="R73" s="91"/>
      <c r="S73" s="91"/>
      <c r="T73" s="91"/>
    </row>
    <row r="74" spans="1:20" ht="15">
      <c r="A74" s="91"/>
      <c r="B74" s="91"/>
      <c r="C74" s="91"/>
      <c r="D74" s="91" t="s">
        <v>84</v>
      </c>
      <c r="E74" s="167"/>
      <c r="F74" s="91">
        <v>0</v>
      </c>
      <c r="G74" s="164">
        <v>40816</v>
      </c>
      <c r="H74" s="172">
        <f aca="true" t="shared" si="16" ref="H74:H80">+$F$63-G74</f>
        <v>183</v>
      </c>
      <c r="I74" s="91">
        <f t="shared" si="15"/>
        <v>0</v>
      </c>
      <c r="J74" s="91"/>
      <c r="K74" s="173">
        <f t="shared" si="13"/>
        <v>0</v>
      </c>
      <c r="L74" s="91">
        <f t="shared" si="14"/>
        <v>0</v>
      </c>
      <c r="M74" s="91"/>
      <c r="N74" s="91"/>
      <c r="O74" s="91"/>
      <c r="P74" s="91"/>
      <c r="Q74" s="91"/>
      <c r="R74" s="91"/>
      <c r="S74" s="91"/>
      <c r="T74" s="91"/>
    </row>
    <row r="75" spans="1:20" ht="15">
      <c r="A75" s="91"/>
      <c r="B75" s="91"/>
      <c r="C75" s="91"/>
      <c r="D75" s="91" t="s">
        <v>85</v>
      </c>
      <c r="E75" s="167"/>
      <c r="F75" s="91">
        <v>0</v>
      </c>
      <c r="G75" s="164">
        <v>40847</v>
      </c>
      <c r="H75" s="172">
        <f t="shared" si="16"/>
        <v>152</v>
      </c>
      <c r="I75" s="91">
        <f t="shared" si="15"/>
        <v>0</v>
      </c>
      <c r="J75" s="91"/>
      <c r="K75" s="173">
        <f t="shared" si="13"/>
        <v>0</v>
      </c>
      <c r="L75" s="91">
        <f t="shared" si="14"/>
        <v>0</v>
      </c>
      <c r="M75" s="91"/>
      <c r="N75" s="91"/>
      <c r="O75" s="91"/>
      <c r="P75" s="91"/>
      <c r="Q75" s="91"/>
      <c r="R75" s="91"/>
      <c r="S75" s="91"/>
      <c r="T75" s="91"/>
    </row>
    <row r="76" spans="1:20" ht="15">
      <c r="A76" s="91"/>
      <c r="B76" s="91"/>
      <c r="C76" s="91"/>
      <c r="D76" s="91" t="s">
        <v>86</v>
      </c>
      <c r="E76" s="167"/>
      <c r="F76" s="91">
        <v>0</v>
      </c>
      <c r="G76" s="164">
        <v>40877</v>
      </c>
      <c r="H76" s="172">
        <f t="shared" si="16"/>
        <v>122</v>
      </c>
      <c r="I76" s="91">
        <f t="shared" si="15"/>
        <v>0</v>
      </c>
      <c r="J76" s="91"/>
      <c r="K76" s="173">
        <f>+F76</f>
        <v>0</v>
      </c>
      <c r="L76" s="91">
        <f t="shared" si="14"/>
        <v>0</v>
      </c>
      <c r="M76" s="91"/>
      <c r="N76" s="91"/>
      <c r="O76" s="91"/>
      <c r="P76" s="91"/>
      <c r="Q76" s="91"/>
      <c r="R76" s="91"/>
      <c r="S76" s="91"/>
      <c r="T76" s="91"/>
    </row>
    <row r="77" spans="1:20" ht="15">
      <c r="A77" s="91"/>
      <c r="B77" s="91"/>
      <c r="C77" s="91"/>
      <c r="D77" s="91" t="s">
        <v>87</v>
      </c>
      <c r="E77" s="167"/>
      <c r="F77" s="91">
        <v>0</v>
      </c>
      <c r="G77" s="164">
        <v>40908</v>
      </c>
      <c r="H77" s="172">
        <f t="shared" si="16"/>
        <v>91</v>
      </c>
      <c r="I77" s="91">
        <f t="shared" si="15"/>
        <v>0</v>
      </c>
      <c r="J77" s="91"/>
      <c r="K77" s="173">
        <f>+F77</f>
        <v>0</v>
      </c>
      <c r="L77" s="91">
        <f t="shared" si="14"/>
        <v>0</v>
      </c>
      <c r="M77" s="91"/>
      <c r="N77" s="91"/>
      <c r="O77" s="91"/>
      <c r="P77" s="91"/>
      <c r="Q77" s="91"/>
      <c r="R77" s="91"/>
      <c r="S77" s="91"/>
      <c r="T77" s="91"/>
    </row>
    <row r="78" spans="1:20" ht="15">
      <c r="A78" s="91"/>
      <c r="B78" s="91"/>
      <c r="C78" s="91"/>
      <c r="D78" s="91" t="s">
        <v>88</v>
      </c>
      <c r="E78" s="167"/>
      <c r="F78" s="91">
        <v>0</v>
      </c>
      <c r="G78" s="164">
        <v>40929</v>
      </c>
      <c r="H78" s="172">
        <f t="shared" si="16"/>
        <v>70</v>
      </c>
      <c r="I78" s="91">
        <f t="shared" si="15"/>
        <v>0</v>
      </c>
      <c r="J78" s="91"/>
      <c r="K78" s="173">
        <f>+F78</f>
        <v>0</v>
      </c>
      <c r="L78" s="91">
        <f t="shared" si="14"/>
        <v>0</v>
      </c>
      <c r="M78" s="91"/>
      <c r="N78" s="91"/>
      <c r="O78" s="91"/>
      <c r="P78" s="91"/>
      <c r="Q78" s="91"/>
      <c r="R78" s="91"/>
      <c r="S78" s="91"/>
      <c r="T78" s="91"/>
    </row>
    <row r="79" spans="1:20" ht="15">
      <c r="A79" s="91"/>
      <c r="B79" s="91"/>
      <c r="C79" s="91"/>
      <c r="D79" s="91" t="s">
        <v>89</v>
      </c>
      <c r="E79" s="167"/>
      <c r="F79" s="91">
        <v>0</v>
      </c>
      <c r="G79" s="164">
        <v>40967</v>
      </c>
      <c r="H79" s="172">
        <f t="shared" si="16"/>
        <v>32</v>
      </c>
      <c r="I79" s="91">
        <f t="shared" si="15"/>
        <v>0</v>
      </c>
      <c r="J79" s="91"/>
      <c r="K79" s="173">
        <f>+F79</f>
        <v>0</v>
      </c>
      <c r="L79" s="91">
        <f t="shared" si="14"/>
        <v>0</v>
      </c>
      <c r="M79" s="91"/>
      <c r="N79" s="91"/>
      <c r="O79" s="91"/>
      <c r="P79" s="91"/>
      <c r="Q79" s="91"/>
      <c r="R79" s="91"/>
      <c r="S79" s="91"/>
      <c r="T79" s="91"/>
    </row>
    <row r="80" spans="1:20" ht="15">
      <c r="A80" s="91"/>
      <c r="B80" s="91"/>
      <c r="C80" s="91"/>
      <c r="D80" s="91" t="s">
        <v>90</v>
      </c>
      <c r="E80" s="167"/>
      <c r="F80" s="91">
        <v>2341610</v>
      </c>
      <c r="G80" s="164">
        <v>40999</v>
      </c>
      <c r="H80" s="172">
        <f t="shared" si="16"/>
        <v>0</v>
      </c>
      <c r="I80" s="91">
        <f>+ROUND(F80*E80*H80/365,0)</f>
        <v>0</v>
      </c>
      <c r="J80" s="91"/>
      <c r="K80" s="173">
        <v>0</v>
      </c>
      <c r="L80" s="91">
        <f>+F80</f>
        <v>2341610</v>
      </c>
      <c r="M80" s="91"/>
      <c r="N80" s="91"/>
      <c r="O80" s="91"/>
      <c r="P80" s="91"/>
      <c r="Q80" s="91"/>
      <c r="R80" s="91"/>
      <c r="S80" s="91"/>
      <c r="T80" s="91"/>
    </row>
    <row r="81" spans="1:20" ht="15">
      <c r="A81" s="91"/>
      <c r="B81" s="91"/>
      <c r="C81" s="91"/>
      <c r="D81" s="91"/>
      <c r="E81" s="167"/>
      <c r="F81" s="91"/>
      <c r="G81" s="91"/>
      <c r="H81" s="91"/>
      <c r="I81" s="91"/>
      <c r="J81" s="91"/>
      <c r="K81" s="91"/>
      <c r="L81" s="91"/>
      <c r="M81" s="91"/>
      <c r="N81" s="91"/>
      <c r="O81" s="91"/>
      <c r="P81" s="91"/>
      <c r="Q81" s="91"/>
      <c r="R81" s="91"/>
      <c r="S81" s="91"/>
      <c r="T81" s="91"/>
    </row>
    <row r="82" spans="1:20" ht="15.75" thickBot="1">
      <c r="A82" s="91"/>
      <c r="B82" s="91"/>
      <c r="C82" s="91"/>
      <c r="D82" s="91" t="s">
        <v>285</v>
      </c>
      <c r="E82" s="167"/>
      <c r="F82" s="174">
        <f>SUM(F69:F81)</f>
        <v>2341610</v>
      </c>
      <c r="G82" s="91"/>
      <c r="H82" s="91"/>
      <c r="I82" s="174">
        <f>SUM(I69:I81)</f>
        <v>0</v>
      </c>
      <c r="J82" s="91"/>
      <c r="K82" s="175">
        <f>SUM(K69:K81)</f>
        <v>0</v>
      </c>
      <c r="L82" s="174">
        <f>SUM(L69:L81)</f>
        <v>2341610</v>
      </c>
      <c r="M82" s="91">
        <f>+K82+L82</f>
        <v>2341610</v>
      </c>
      <c r="N82" s="91">
        <f>+M82-F82</f>
        <v>0</v>
      </c>
      <c r="O82" s="91"/>
      <c r="P82" s="91"/>
      <c r="Q82" s="91"/>
      <c r="R82" s="91"/>
      <c r="S82" s="91"/>
      <c r="T82" s="91"/>
    </row>
    <row r="83" spans="1:20" ht="15.75" thickTop="1">
      <c r="A83" s="91"/>
      <c r="B83" s="91"/>
      <c r="C83" s="91"/>
      <c r="D83" s="91"/>
      <c r="E83" s="167"/>
      <c r="F83" s="37"/>
      <c r="G83" s="91"/>
      <c r="H83" s="91"/>
      <c r="I83" s="37"/>
      <c r="J83" s="91"/>
      <c r="K83" s="37"/>
      <c r="L83" s="37"/>
      <c r="M83" s="91"/>
      <c r="N83" s="91"/>
      <c r="O83" s="91"/>
      <c r="P83" s="91"/>
      <c r="Q83" s="91"/>
      <c r="R83" s="91"/>
      <c r="S83" s="91"/>
      <c r="T83" s="91"/>
    </row>
    <row r="84" spans="1:20" ht="15">
      <c r="A84" s="91"/>
      <c r="B84" s="91"/>
      <c r="C84" s="91"/>
      <c r="D84" s="91"/>
      <c r="E84" s="167"/>
      <c r="F84" s="37">
        <f>+F67</f>
        <v>15568120</v>
      </c>
      <c r="G84" s="171" t="s">
        <v>91</v>
      </c>
      <c r="H84" s="171"/>
      <c r="I84" s="176">
        <f>+I67</f>
        <v>519975</v>
      </c>
      <c r="J84" s="91"/>
      <c r="K84" s="37"/>
      <c r="L84" s="37"/>
      <c r="M84" s="91"/>
      <c r="N84" s="91"/>
      <c r="O84" s="91"/>
      <c r="P84" s="91"/>
      <c r="Q84" s="91"/>
      <c r="R84" s="91"/>
      <c r="S84" s="91"/>
      <c r="T84" s="91"/>
    </row>
    <row r="85" spans="1:20" ht="15">
      <c r="A85" s="91"/>
      <c r="B85" s="91"/>
      <c r="C85" s="91"/>
      <c r="D85" s="91"/>
      <c r="E85" s="167"/>
      <c r="F85" s="37">
        <f>+F82</f>
        <v>2341610</v>
      </c>
      <c r="G85" s="91" t="s">
        <v>92</v>
      </c>
      <c r="H85" s="91"/>
      <c r="I85" s="37">
        <f>+I82</f>
        <v>0</v>
      </c>
      <c r="J85" s="91"/>
      <c r="K85" s="37"/>
      <c r="L85" s="37"/>
      <c r="M85" s="91"/>
      <c r="N85" s="91"/>
      <c r="O85" s="91"/>
      <c r="P85" s="91"/>
      <c r="Q85" s="91"/>
      <c r="R85" s="91"/>
      <c r="S85" s="91"/>
      <c r="T85" s="91"/>
    </row>
    <row r="86" spans="1:20" ht="15.75" thickBot="1">
      <c r="A86" s="91"/>
      <c r="B86" s="91"/>
      <c r="C86" s="91"/>
      <c r="D86" s="91"/>
      <c r="E86" s="91"/>
      <c r="F86" s="177">
        <f>SUM(F84:F85)</f>
        <v>17909730</v>
      </c>
      <c r="G86" s="91" t="s">
        <v>285</v>
      </c>
      <c r="H86" s="91"/>
      <c r="I86" s="174">
        <f>SUM(I84:I85)</f>
        <v>519975</v>
      </c>
      <c r="J86" s="91"/>
      <c r="K86" s="91"/>
      <c r="L86" s="91"/>
      <c r="M86" s="91"/>
      <c r="N86" s="91"/>
      <c r="O86" s="91"/>
      <c r="P86" s="91"/>
      <c r="Q86" s="91"/>
      <c r="R86" s="91"/>
      <c r="S86" s="91"/>
      <c r="T86" s="91"/>
    </row>
    <row r="87" spans="1:20" ht="15.75" thickTop="1">
      <c r="A87" s="91"/>
      <c r="B87" s="91"/>
      <c r="C87" s="91"/>
      <c r="D87" s="91"/>
      <c r="E87" s="91"/>
      <c r="F87" s="91"/>
      <c r="G87" s="91"/>
      <c r="H87" s="91"/>
      <c r="I87" s="37"/>
      <c r="J87" s="91"/>
      <c r="K87" s="91"/>
      <c r="L87" s="91"/>
      <c r="M87" s="91"/>
      <c r="N87" s="91"/>
      <c r="O87" s="91"/>
      <c r="P87" s="91"/>
      <c r="Q87" s="91"/>
      <c r="R87" s="91"/>
      <c r="S87" s="91"/>
      <c r="T87" s="91"/>
    </row>
    <row r="88" spans="1:20" ht="15">
      <c r="A88" s="91"/>
      <c r="B88" s="91"/>
      <c r="C88" s="91"/>
      <c r="D88" s="166" t="s">
        <v>93</v>
      </c>
      <c r="E88" s="167">
        <f>+E38</f>
        <v>0.0163</v>
      </c>
      <c r="F88" s="91"/>
      <c r="G88" s="91"/>
      <c r="H88" s="91"/>
      <c r="I88" s="91"/>
      <c r="J88" s="91"/>
      <c r="K88" s="91"/>
      <c r="L88" s="91"/>
      <c r="M88" s="91"/>
      <c r="N88" s="91"/>
      <c r="O88" s="91"/>
      <c r="P88" s="91"/>
      <c r="Q88" s="91"/>
      <c r="R88" s="91"/>
      <c r="S88" s="91"/>
      <c r="T88" s="91"/>
    </row>
    <row r="89" spans="1:20" ht="15">
      <c r="A89" s="91"/>
      <c r="B89" s="91"/>
      <c r="C89" s="91"/>
      <c r="D89" s="178" t="s">
        <v>318</v>
      </c>
      <c r="E89" s="167"/>
      <c r="F89" s="171">
        <f>+F38</f>
        <v>788145</v>
      </c>
      <c r="G89" s="170">
        <v>40634</v>
      </c>
      <c r="H89" s="171">
        <f>+$F$63-G89+1</f>
        <v>366</v>
      </c>
      <c r="I89" s="171">
        <f>+F89*E88*H89/366</f>
        <v>12846.7635</v>
      </c>
      <c r="J89" s="91"/>
      <c r="K89" s="91"/>
      <c r="L89" s="91"/>
      <c r="M89" s="91"/>
      <c r="N89" s="91"/>
      <c r="O89" s="91"/>
      <c r="P89" s="91"/>
      <c r="Q89" s="91"/>
      <c r="R89" s="91"/>
      <c r="S89" s="91"/>
      <c r="T89" s="91"/>
    </row>
    <row r="90" spans="1:20" ht="15">
      <c r="A90" s="91"/>
      <c r="B90" s="91"/>
      <c r="C90" s="91"/>
      <c r="D90" s="97"/>
      <c r="E90" s="167"/>
      <c r="F90" s="91"/>
      <c r="G90" s="91"/>
      <c r="H90" s="91"/>
      <c r="I90" s="91"/>
      <c r="J90" s="91"/>
      <c r="K90" s="91"/>
      <c r="L90" s="91"/>
      <c r="M90" s="91"/>
      <c r="N90" s="91"/>
      <c r="O90" s="91"/>
      <c r="P90" s="91"/>
      <c r="Q90" s="91"/>
      <c r="R90" s="91"/>
      <c r="S90" s="91"/>
      <c r="T90" s="91"/>
    </row>
    <row r="91" spans="1:20" ht="15">
      <c r="A91" s="91"/>
      <c r="B91" s="91"/>
      <c r="C91" s="91"/>
      <c r="D91" s="91" t="s">
        <v>94</v>
      </c>
      <c r="E91" s="167">
        <v>0.0163</v>
      </c>
      <c r="F91" s="91">
        <v>0</v>
      </c>
      <c r="G91" s="164">
        <v>40641</v>
      </c>
      <c r="H91" s="91">
        <f>+$F$63-G91</f>
        <v>358</v>
      </c>
      <c r="I91" s="91">
        <f>+ROUND(F91*E91*H91/365,0)</f>
        <v>0</v>
      </c>
      <c r="J91" s="91"/>
      <c r="K91" s="91"/>
      <c r="L91" s="91">
        <f>+F91</f>
        <v>0</v>
      </c>
      <c r="M91" s="91"/>
      <c r="N91" s="91"/>
      <c r="O91" s="91"/>
      <c r="P91" s="91"/>
      <c r="Q91" s="91"/>
      <c r="R91" s="91"/>
      <c r="S91" s="91"/>
      <c r="T91" s="91"/>
    </row>
    <row r="92" spans="1:20" ht="15">
      <c r="A92" s="91"/>
      <c r="B92" s="91"/>
      <c r="C92" s="91"/>
      <c r="D92" s="91" t="s">
        <v>86</v>
      </c>
      <c r="E92" s="167">
        <v>0.0163</v>
      </c>
      <c r="F92" s="91">
        <v>0</v>
      </c>
      <c r="G92" s="164">
        <v>41214</v>
      </c>
      <c r="H92" s="91">
        <f>+$F$63-G92</f>
        <v>-215</v>
      </c>
      <c r="I92" s="91">
        <f>+ROUND(F92*E92*H92/365,0)</f>
        <v>0</v>
      </c>
      <c r="J92" s="91"/>
      <c r="K92" s="91">
        <f>+F92</f>
        <v>0</v>
      </c>
      <c r="L92" s="91"/>
      <c r="M92" s="91"/>
      <c r="N92" s="91"/>
      <c r="O92" s="91"/>
      <c r="P92" s="91"/>
      <c r="Q92" s="91"/>
      <c r="R92" s="91"/>
      <c r="S92" s="91"/>
      <c r="T92" s="91"/>
    </row>
    <row r="93" spans="1:20" ht="15">
      <c r="A93" s="91"/>
      <c r="B93" s="91"/>
      <c r="C93" s="91"/>
      <c r="D93" s="91"/>
      <c r="E93" s="167"/>
      <c r="F93" s="91"/>
      <c r="G93" s="91"/>
      <c r="H93" s="91"/>
      <c r="I93" s="91"/>
      <c r="J93" s="91"/>
      <c r="K93" s="91"/>
      <c r="L93" s="91"/>
      <c r="M93" s="91"/>
      <c r="N93" s="91"/>
      <c r="O93" s="91"/>
      <c r="P93" s="91"/>
      <c r="Q93" s="91"/>
      <c r="R93" s="91"/>
      <c r="S93" s="91"/>
      <c r="T93" s="91"/>
    </row>
    <row r="94" spans="1:20" ht="15.75" thickBot="1">
      <c r="A94" s="91"/>
      <c r="B94" s="91"/>
      <c r="C94" s="91"/>
      <c r="D94" s="91"/>
      <c r="E94" s="91"/>
      <c r="F94" s="174">
        <f>SUM(F91:F93)</f>
        <v>0</v>
      </c>
      <c r="G94" s="91"/>
      <c r="H94" s="91"/>
      <c r="I94" s="174">
        <f>SUM(I91:I93)</f>
        <v>0</v>
      </c>
      <c r="J94" s="91"/>
      <c r="K94" s="174">
        <f>SUM(K91:K93)</f>
        <v>0</v>
      </c>
      <c r="L94" s="174">
        <f>SUM(L91:L93)</f>
        <v>0</v>
      </c>
      <c r="M94" s="91"/>
      <c r="N94" s="91"/>
      <c r="O94" s="91"/>
      <c r="P94" s="91"/>
      <c r="Q94" s="91"/>
      <c r="R94" s="91"/>
      <c r="S94" s="91"/>
      <c r="T94" s="91"/>
    </row>
    <row r="95" spans="1:20" ht="15.75" thickTop="1">
      <c r="A95" s="91"/>
      <c r="B95" s="91"/>
      <c r="C95" s="91"/>
      <c r="D95" s="91"/>
      <c r="E95" s="91"/>
      <c r="F95" s="37"/>
      <c r="G95" s="91"/>
      <c r="H95" s="91"/>
      <c r="I95" s="37"/>
      <c r="J95" s="91"/>
      <c r="K95" s="37"/>
      <c r="L95" s="37"/>
      <c r="M95" s="91"/>
      <c r="N95" s="91"/>
      <c r="O95" s="91"/>
      <c r="P95" s="91"/>
      <c r="Q95" s="91"/>
      <c r="R95" s="91"/>
      <c r="S95" s="91"/>
      <c r="T95" s="91"/>
    </row>
    <row r="96" spans="1:20" ht="15">
      <c r="A96" s="91"/>
      <c r="B96" s="91"/>
      <c r="C96" s="91"/>
      <c r="D96" s="91"/>
      <c r="E96" s="91"/>
      <c r="F96" s="179">
        <f>+F89</f>
        <v>788145</v>
      </c>
      <c r="G96" s="171" t="s">
        <v>91</v>
      </c>
      <c r="H96" s="171"/>
      <c r="I96" s="176">
        <f>+I89</f>
        <v>12846.7635</v>
      </c>
      <c r="J96" s="91"/>
      <c r="K96" s="37"/>
      <c r="L96" s="37"/>
      <c r="M96" s="91"/>
      <c r="N96" s="91"/>
      <c r="O96" s="91"/>
      <c r="P96" s="91"/>
      <c r="Q96" s="91"/>
      <c r="R96" s="91"/>
      <c r="S96" s="91"/>
      <c r="T96" s="91"/>
    </row>
    <row r="97" spans="1:20" ht="15">
      <c r="A97" s="91"/>
      <c r="B97" s="91"/>
      <c r="C97" s="91"/>
      <c r="D97" s="91"/>
      <c r="E97" s="91"/>
      <c r="F97" s="37">
        <f>+F94</f>
        <v>0</v>
      </c>
      <c r="G97" s="91" t="s">
        <v>92</v>
      </c>
      <c r="H97" s="91"/>
      <c r="I97" s="37">
        <f>+I94</f>
        <v>0</v>
      </c>
      <c r="J97" s="91"/>
      <c r="K97" s="37"/>
      <c r="L97" s="37"/>
      <c r="M97" s="91"/>
      <c r="N97" s="91"/>
      <c r="O97" s="91">
        <v>30</v>
      </c>
      <c r="P97" s="91"/>
      <c r="Q97" s="91"/>
      <c r="R97" s="91"/>
      <c r="S97" s="91"/>
      <c r="T97" s="91"/>
    </row>
    <row r="98" spans="1:20" ht="15.75" thickBot="1">
      <c r="A98" s="91"/>
      <c r="B98" s="91" t="s">
        <v>95</v>
      </c>
      <c r="C98" s="91"/>
      <c r="D98" s="91"/>
      <c r="E98" s="91"/>
      <c r="F98" s="174">
        <f>SUM(F96:F97)</f>
        <v>788145</v>
      </c>
      <c r="G98" s="91" t="s">
        <v>285</v>
      </c>
      <c r="H98" s="91"/>
      <c r="I98" s="174">
        <f>SUM(I96:I97)</f>
        <v>12846.7635</v>
      </c>
      <c r="J98" s="91"/>
      <c r="K98" s="37"/>
      <c r="L98" s="37"/>
      <c r="M98" s="91"/>
      <c r="N98" s="91"/>
      <c r="O98" s="91">
        <v>31</v>
      </c>
      <c r="P98" s="91"/>
      <c r="Q98" s="91"/>
      <c r="R98" s="91"/>
      <c r="S98" s="91"/>
      <c r="T98" s="91"/>
    </row>
    <row r="99" spans="1:20" ht="15.75" thickTop="1">
      <c r="A99" s="91"/>
      <c r="B99" s="91" t="s">
        <v>96</v>
      </c>
      <c r="C99" s="91"/>
      <c r="D99" s="91"/>
      <c r="E99" s="91"/>
      <c r="F99" s="91"/>
      <c r="G99" s="91"/>
      <c r="H99" s="91"/>
      <c r="I99" s="91"/>
      <c r="J99" s="91"/>
      <c r="K99" s="91"/>
      <c r="L99" s="91"/>
      <c r="M99" s="91"/>
      <c r="N99" s="91"/>
      <c r="O99" s="91">
        <v>30</v>
      </c>
      <c r="P99" s="91"/>
      <c r="Q99" s="91"/>
      <c r="R99" s="91"/>
      <c r="S99" s="91"/>
      <c r="T99" s="91"/>
    </row>
    <row r="100" spans="1:20" ht="15">
      <c r="A100" s="91"/>
      <c r="B100" s="91" t="s">
        <v>184</v>
      </c>
      <c r="C100" s="91">
        <v>381200</v>
      </c>
      <c r="D100" s="166" t="s">
        <v>97</v>
      </c>
      <c r="E100" s="167">
        <f>+E39</f>
        <v>0.0742</v>
      </c>
      <c r="F100" s="91"/>
      <c r="G100" s="91"/>
      <c r="H100" s="91"/>
      <c r="I100" s="91"/>
      <c r="J100" s="91"/>
      <c r="K100" s="91"/>
      <c r="L100" s="91"/>
      <c r="M100" s="91"/>
      <c r="N100" s="91"/>
      <c r="O100" s="91">
        <v>31</v>
      </c>
      <c r="P100" s="91"/>
      <c r="Q100" s="91"/>
      <c r="R100" s="91"/>
      <c r="S100" s="91"/>
      <c r="T100" s="91"/>
    </row>
    <row r="101" spans="1:20" ht="15">
      <c r="A101" s="91"/>
      <c r="B101" s="91"/>
      <c r="C101" s="91"/>
      <c r="D101" s="166" t="s">
        <v>318</v>
      </c>
      <c r="E101" s="167"/>
      <c r="F101" s="171">
        <v>9399730</v>
      </c>
      <c r="G101" s="170">
        <v>40634</v>
      </c>
      <c r="H101" s="91">
        <v>0</v>
      </c>
      <c r="I101" s="91">
        <v>0</v>
      </c>
      <c r="J101" s="91"/>
      <c r="K101" s="91"/>
      <c r="L101" s="91"/>
      <c r="M101" s="91"/>
      <c r="N101" s="91"/>
      <c r="O101" s="91">
        <v>31</v>
      </c>
      <c r="P101" s="91"/>
      <c r="Q101" s="91"/>
      <c r="R101" s="91"/>
      <c r="S101" s="91"/>
      <c r="T101" s="91"/>
    </row>
    <row r="102" spans="1:20" ht="15">
      <c r="A102" s="91"/>
      <c r="B102" s="91"/>
      <c r="C102" s="91"/>
      <c r="D102" s="178" t="s">
        <v>318</v>
      </c>
      <c r="E102" s="180"/>
      <c r="F102" s="171">
        <f>33491465-468000+8-F101</f>
        <v>23623743</v>
      </c>
      <c r="G102" s="170">
        <v>40634</v>
      </c>
      <c r="H102" s="171">
        <f>+$F$63-G102+1</f>
        <v>366</v>
      </c>
      <c r="I102" s="171">
        <f>+(F102*$E$100)*H102/366</f>
        <v>1752881.7306000001</v>
      </c>
      <c r="J102" s="91"/>
      <c r="K102" s="91"/>
      <c r="L102" s="91"/>
      <c r="M102" s="91"/>
      <c r="N102" s="91"/>
      <c r="O102" s="91">
        <v>30</v>
      </c>
      <c r="P102" s="91"/>
      <c r="Q102" s="91"/>
      <c r="R102" s="91"/>
      <c r="S102" s="91"/>
      <c r="T102" s="91"/>
    </row>
    <row r="103" spans="1:20" ht="15">
      <c r="A103" s="91"/>
      <c r="B103" s="91" t="s">
        <v>98</v>
      </c>
      <c r="C103" s="91"/>
      <c r="D103" s="178"/>
      <c r="E103" s="180"/>
      <c r="F103" s="171"/>
      <c r="G103" s="170"/>
      <c r="H103" s="171"/>
      <c r="I103" s="171"/>
      <c r="J103" s="91"/>
      <c r="K103" s="91"/>
      <c r="L103" s="91"/>
      <c r="M103" s="91"/>
      <c r="N103" s="91"/>
      <c r="O103" s="91">
        <v>31</v>
      </c>
      <c r="P103" s="91"/>
      <c r="Q103" s="91"/>
      <c r="R103" s="91"/>
      <c r="S103" s="91"/>
      <c r="T103" s="91"/>
    </row>
    <row r="104" spans="1:20" ht="15">
      <c r="A104" s="91"/>
      <c r="B104" s="91" t="s">
        <v>185</v>
      </c>
      <c r="C104" s="91">
        <v>12758627</v>
      </c>
      <c r="D104" s="178" t="s">
        <v>99</v>
      </c>
      <c r="E104" s="180"/>
      <c r="F104" s="171">
        <v>13239744</v>
      </c>
      <c r="G104" s="170">
        <v>40634</v>
      </c>
      <c r="H104" s="171">
        <f>+$F$63-G104+1</f>
        <v>366</v>
      </c>
      <c r="I104" s="171">
        <f>+(F104*$E$100)*H104/366</f>
        <v>982389.0048</v>
      </c>
      <c r="J104" s="91"/>
      <c r="K104" s="91"/>
      <c r="L104" s="91"/>
      <c r="M104" s="91"/>
      <c r="N104" s="91"/>
      <c r="O104" s="91">
        <v>30</v>
      </c>
      <c r="P104" s="91"/>
      <c r="Q104" s="91"/>
      <c r="R104" s="91"/>
      <c r="S104" s="91"/>
      <c r="T104" s="91"/>
    </row>
    <row r="105" spans="1:20" ht="15">
      <c r="A105" s="91"/>
      <c r="B105" s="91" t="s">
        <v>184</v>
      </c>
      <c r="C105" s="91">
        <f>248803+218131+14183</f>
        <v>481117</v>
      </c>
      <c r="D105" s="178" t="s">
        <v>100</v>
      </c>
      <c r="E105" s="180" t="s">
        <v>184</v>
      </c>
      <c r="F105" s="171">
        <f>11182123+1860180</f>
        <v>13042303</v>
      </c>
      <c r="G105" s="170">
        <v>40634</v>
      </c>
      <c r="H105" s="171">
        <f>+$F$63-G105+1</f>
        <v>366</v>
      </c>
      <c r="I105" s="171">
        <f>+(F105*$E$100)*H105/366</f>
        <v>967738.8826</v>
      </c>
      <c r="J105" s="91"/>
      <c r="K105" s="91"/>
      <c r="L105" s="91"/>
      <c r="M105" s="91"/>
      <c r="N105" s="91"/>
      <c r="O105" s="91">
        <v>31</v>
      </c>
      <c r="P105" s="91"/>
      <c r="Q105" s="91"/>
      <c r="R105" s="91"/>
      <c r="S105" s="91"/>
      <c r="T105" s="91"/>
    </row>
    <row r="106" spans="1:20" ht="15.75" thickBot="1">
      <c r="A106" s="91"/>
      <c r="B106" s="91"/>
      <c r="C106" s="91"/>
      <c r="D106" s="178"/>
      <c r="E106" s="180"/>
      <c r="F106" s="181">
        <f>SUM(F100:F105)</f>
        <v>59305520</v>
      </c>
      <c r="G106" s="170"/>
      <c r="H106" s="171"/>
      <c r="I106" s="181">
        <f>SUM(I100:I105)</f>
        <v>3703009.6180000002</v>
      </c>
      <c r="J106" s="91"/>
      <c r="K106" s="91"/>
      <c r="L106" s="91"/>
      <c r="M106" s="91"/>
      <c r="N106" s="91"/>
      <c r="O106" s="91">
        <v>31</v>
      </c>
      <c r="P106" s="91"/>
      <c r="Q106" s="91"/>
      <c r="R106" s="91"/>
      <c r="S106" s="91"/>
      <c r="T106" s="91"/>
    </row>
    <row r="107" spans="1:20" ht="15.75" thickTop="1">
      <c r="A107" s="91"/>
      <c r="B107" s="91"/>
      <c r="C107" s="91"/>
      <c r="D107" s="97" t="s">
        <v>78</v>
      </c>
      <c r="E107" s="167"/>
      <c r="F107" s="91"/>
      <c r="G107" s="91"/>
      <c r="H107" s="91"/>
      <c r="I107" s="91"/>
      <c r="J107" s="91"/>
      <c r="K107" s="91"/>
      <c r="L107" s="91"/>
      <c r="M107" s="91"/>
      <c r="N107" s="91"/>
      <c r="O107" s="91">
        <v>29</v>
      </c>
      <c r="P107" s="91"/>
      <c r="Q107" s="91"/>
      <c r="R107" s="91"/>
      <c r="S107" s="91"/>
      <c r="T107" s="91"/>
    </row>
    <row r="108" spans="1:20" ht="15">
      <c r="A108" s="91"/>
      <c r="B108" s="91"/>
      <c r="C108" s="91"/>
      <c r="D108" s="91" t="s">
        <v>79</v>
      </c>
      <c r="E108" s="167">
        <f>+E100</f>
        <v>0.0742</v>
      </c>
      <c r="F108" s="91">
        <v>0</v>
      </c>
      <c r="G108" s="164">
        <v>40663</v>
      </c>
      <c r="H108" s="91">
        <f aca="true" t="shared" si="17" ref="H108:H119">+$F$63-G108</f>
        <v>336</v>
      </c>
      <c r="I108" s="91">
        <f>+ROUND(F108*E108*H108/366,0)</f>
        <v>0</v>
      </c>
      <c r="J108" s="91"/>
      <c r="K108" s="91">
        <f>+F108</f>
        <v>0</v>
      </c>
      <c r="L108" s="91"/>
      <c r="M108" s="91"/>
      <c r="N108" s="91"/>
      <c r="O108" s="91">
        <v>31</v>
      </c>
      <c r="P108" s="91"/>
      <c r="Q108" s="91"/>
      <c r="R108" s="91"/>
      <c r="S108" s="91"/>
      <c r="T108" s="91"/>
    </row>
    <row r="109" spans="1:20" ht="15">
      <c r="A109" s="91"/>
      <c r="B109" s="91"/>
      <c r="C109" s="91"/>
      <c r="D109" s="91" t="s">
        <v>80</v>
      </c>
      <c r="E109" s="167">
        <f>+E108</f>
        <v>0.0742</v>
      </c>
      <c r="F109" s="91">
        <v>0</v>
      </c>
      <c r="G109" s="164">
        <v>40694</v>
      </c>
      <c r="H109" s="91">
        <f t="shared" si="17"/>
        <v>305</v>
      </c>
      <c r="I109" s="91">
        <f>+ROUND(F109*E109*H109/366,0)</f>
        <v>0</v>
      </c>
      <c r="J109" s="91"/>
      <c r="K109" s="91"/>
      <c r="L109" s="91">
        <f>+F109</f>
        <v>0</v>
      </c>
      <c r="M109" s="91"/>
      <c r="N109" s="91"/>
      <c r="O109" s="91">
        <f>SUM(O97:O108)</f>
        <v>366</v>
      </c>
      <c r="P109" s="91"/>
      <c r="Q109" s="91"/>
      <c r="R109" s="91"/>
      <c r="S109" s="91"/>
      <c r="T109" s="91"/>
    </row>
    <row r="110" spans="1:20" ht="15">
      <c r="A110" s="91"/>
      <c r="B110" s="91"/>
      <c r="C110" s="91"/>
      <c r="D110" s="91" t="s">
        <v>101</v>
      </c>
      <c r="E110" s="167">
        <f>+E109</f>
        <v>0.0742</v>
      </c>
      <c r="F110" s="91">
        <v>19850</v>
      </c>
      <c r="G110" s="164">
        <v>40724</v>
      </c>
      <c r="H110" s="91">
        <f t="shared" si="17"/>
        <v>275</v>
      </c>
      <c r="I110" s="91">
        <f>+ROUND(F110*E110*H110/366,0)</f>
        <v>1107</v>
      </c>
      <c r="J110" s="91"/>
      <c r="K110" s="91">
        <f aca="true" t="shared" si="18" ref="K110:K115">+F110</f>
        <v>19850</v>
      </c>
      <c r="L110" s="91">
        <v>0</v>
      </c>
      <c r="M110" s="91"/>
      <c r="N110" s="91"/>
      <c r="O110" s="91"/>
      <c r="P110" s="91"/>
      <c r="Q110" s="91"/>
      <c r="R110" s="91"/>
      <c r="S110" s="91"/>
      <c r="T110" s="91"/>
    </row>
    <row r="111" spans="1:20" ht="15">
      <c r="A111" s="91"/>
      <c r="B111" s="91"/>
      <c r="C111" s="91"/>
      <c r="D111" s="91" t="s">
        <v>82</v>
      </c>
      <c r="E111" s="167">
        <f>+E110</f>
        <v>0.0742</v>
      </c>
      <c r="F111" s="91">
        <v>143500</v>
      </c>
      <c r="G111" s="164">
        <v>40755</v>
      </c>
      <c r="H111" s="91">
        <f t="shared" si="17"/>
        <v>244</v>
      </c>
      <c r="I111" s="91">
        <f aca="true" t="shared" si="19" ref="I111:I119">+ROUND(F111*E111*H111/366,0)</f>
        <v>7098</v>
      </c>
      <c r="J111" s="91"/>
      <c r="K111" s="91">
        <f t="shared" si="18"/>
        <v>143500</v>
      </c>
      <c r="L111" s="91">
        <v>0</v>
      </c>
      <c r="M111" s="91"/>
      <c r="N111" s="91"/>
      <c r="O111" s="91"/>
      <c r="P111" s="91"/>
      <c r="Q111" s="91"/>
      <c r="R111" s="91"/>
      <c r="S111" s="91"/>
      <c r="T111" s="91"/>
    </row>
    <row r="112" spans="1:20" ht="15">
      <c r="A112" s="91"/>
      <c r="B112" s="91"/>
      <c r="C112" s="91"/>
      <c r="D112" s="91" t="s">
        <v>102</v>
      </c>
      <c r="E112" s="167">
        <f>+E111</f>
        <v>0.0742</v>
      </c>
      <c r="F112" s="91">
        <v>21526</v>
      </c>
      <c r="G112" s="164">
        <v>40786</v>
      </c>
      <c r="H112" s="91">
        <f t="shared" si="17"/>
        <v>213</v>
      </c>
      <c r="I112" s="91">
        <f t="shared" si="19"/>
        <v>930</v>
      </c>
      <c r="J112" s="91"/>
      <c r="K112" s="91">
        <f t="shared" si="18"/>
        <v>21526</v>
      </c>
      <c r="L112" s="91">
        <v>0</v>
      </c>
      <c r="M112" s="91"/>
      <c r="N112" s="91"/>
      <c r="O112" s="91"/>
      <c r="P112" s="91"/>
      <c r="Q112" s="91"/>
      <c r="R112" s="91"/>
      <c r="S112" s="91"/>
      <c r="T112" s="91"/>
    </row>
    <row r="113" spans="1:20" ht="15">
      <c r="A113" s="91"/>
      <c r="B113" s="91"/>
      <c r="C113" s="91"/>
      <c r="D113" s="91" t="s">
        <v>84</v>
      </c>
      <c r="E113" s="167">
        <f>+E112</f>
        <v>0.0742</v>
      </c>
      <c r="F113" s="91">
        <v>0</v>
      </c>
      <c r="G113" s="164">
        <v>40816</v>
      </c>
      <c r="H113" s="91">
        <f t="shared" si="17"/>
        <v>183</v>
      </c>
      <c r="I113" s="91">
        <f t="shared" si="19"/>
        <v>0</v>
      </c>
      <c r="J113" s="91"/>
      <c r="K113" s="91">
        <f t="shared" si="18"/>
        <v>0</v>
      </c>
      <c r="L113" s="91"/>
      <c r="M113" s="91"/>
      <c r="N113" s="91"/>
      <c r="O113" s="91"/>
      <c r="P113" s="91"/>
      <c r="Q113" s="91"/>
      <c r="R113" s="91"/>
      <c r="S113" s="91"/>
      <c r="T113" s="91"/>
    </row>
    <row r="114" spans="1:20" ht="15">
      <c r="A114" s="91"/>
      <c r="B114" s="91"/>
      <c r="C114" s="91"/>
      <c r="D114" s="91" t="s">
        <v>103</v>
      </c>
      <c r="E114" s="167">
        <f>+E111</f>
        <v>0.0742</v>
      </c>
      <c r="F114" s="91">
        <v>4000</v>
      </c>
      <c r="G114" s="164">
        <v>40847</v>
      </c>
      <c r="H114" s="91">
        <f t="shared" si="17"/>
        <v>152</v>
      </c>
      <c r="I114" s="91">
        <f t="shared" si="19"/>
        <v>123</v>
      </c>
      <c r="J114" s="91"/>
      <c r="K114" s="91">
        <v>0</v>
      </c>
      <c r="L114" s="91">
        <f>+F114</f>
        <v>4000</v>
      </c>
      <c r="M114" s="91"/>
      <c r="N114" s="91"/>
      <c r="O114" s="91"/>
      <c r="P114" s="91"/>
      <c r="Q114" s="91"/>
      <c r="R114" s="91"/>
      <c r="S114" s="91"/>
      <c r="T114" s="91"/>
    </row>
    <row r="115" spans="1:20" ht="15">
      <c r="A115" s="91"/>
      <c r="B115" s="91"/>
      <c r="C115" s="91"/>
      <c r="D115" s="91" t="s">
        <v>86</v>
      </c>
      <c r="E115" s="167">
        <f>+E100</f>
        <v>0.0742</v>
      </c>
      <c r="F115" s="91">
        <v>0</v>
      </c>
      <c r="G115" s="164">
        <v>40877</v>
      </c>
      <c r="H115" s="91">
        <f t="shared" si="17"/>
        <v>122</v>
      </c>
      <c r="I115" s="91">
        <f t="shared" si="19"/>
        <v>0</v>
      </c>
      <c r="J115" s="91"/>
      <c r="K115" s="91">
        <f t="shared" si="18"/>
        <v>0</v>
      </c>
      <c r="L115" s="91">
        <v>0</v>
      </c>
      <c r="M115" s="91"/>
      <c r="N115" s="91"/>
      <c r="O115" s="91"/>
      <c r="P115" s="91"/>
      <c r="Q115" s="91"/>
      <c r="R115" s="91"/>
      <c r="S115" s="91"/>
      <c r="T115" s="91"/>
    </row>
    <row r="116" spans="1:20" ht="15">
      <c r="A116" s="91"/>
      <c r="B116" s="91"/>
      <c r="C116" s="91"/>
      <c r="D116" s="91" t="s">
        <v>87</v>
      </c>
      <c r="E116" s="167">
        <f>+E115</f>
        <v>0.0742</v>
      </c>
      <c r="F116" s="91">
        <f>1259161-49955</f>
        <v>1209206</v>
      </c>
      <c r="G116" s="164">
        <v>40908</v>
      </c>
      <c r="H116" s="91">
        <f t="shared" si="17"/>
        <v>91</v>
      </c>
      <c r="I116" s="91">
        <f t="shared" si="19"/>
        <v>22308</v>
      </c>
      <c r="J116" s="91"/>
      <c r="K116" s="91"/>
      <c r="L116" s="91">
        <f>+F116</f>
        <v>1209206</v>
      </c>
      <c r="M116" s="91"/>
      <c r="N116" s="91"/>
      <c r="O116" s="91"/>
      <c r="P116" s="91"/>
      <c r="Q116" s="91"/>
      <c r="R116" s="91"/>
      <c r="S116" s="91"/>
      <c r="T116" s="91"/>
    </row>
    <row r="117" spans="1:20" ht="15">
      <c r="A117" s="91"/>
      <c r="B117" s="91"/>
      <c r="C117" s="91"/>
      <c r="D117" s="91" t="s">
        <v>88</v>
      </c>
      <c r="E117" s="167">
        <f>+E116</f>
        <v>0.0742</v>
      </c>
      <c r="F117" s="91">
        <v>61917</v>
      </c>
      <c r="G117" s="164">
        <v>40939</v>
      </c>
      <c r="H117" s="91">
        <f t="shared" si="17"/>
        <v>60</v>
      </c>
      <c r="I117" s="91">
        <f>+ROUND(F117*E117*H117/366,0)</f>
        <v>753</v>
      </c>
      <c r="J117" s="91"/>
      <c r="K117" s="91"/>
      <c r="L117" s="91">
        <f>+F117</f>
        <v>61917</v>
      </c>
      <c r="M117" s="91"/>
      <c r="N117" s="91"/>
      <c r="O117" s="91"/>
      <c r="P117" s="91"/>
      <c r="Q117" s="91"/>
      <c r="R117" s="91"/>
      <c r="S117" s="91"/>
      <c r="T117" s="91"/>
    </row>
    <row r="118" spans="1:20" ht="15">
      <c r="A118" s="91"/>
      <c r="B118" s="91"/>
      <c r="C118" s="91"/>
      <c r="D118" s="91" t="s">
        <v>89</v>
      </c>
      <c r="E118" s="167">
        <f>+E117</f>
        <v>0.0742</v>
      </c>
      <c r="F118" s="91">
        <v>34800</v>
      </c>
      <c r="G118" s="164">
        <v>40968</v>
      </c>
      <c r="H118" s="91">
        <f t="shared" si="17"/>
        <v>31</v>
      </c>
      <c r="I118" s="91">
        <f t="shared" si="19"/>
        <v>219</v>
      </c>
      <c r="J118" s="91"/>
      <c r="K118" s="91"/>
      <c r="L118" s="91">
        <f>+F118</f>
        <v>34800</v>
      </c>
      <c r="M118" s="91"/>
      <c r="N118" s="91"/>
      <c r="O118" s="91"/>
      <c r="P118" s="91"/>
      <c r="Q118" s="91"/>
      <c r="R118" s="91"/>
      <c r="S118" s="91"/>
      <c r="T118" s="91"/>
    </row>
    <row r="119" spans="1:20" ht="15">
      <c r="A119" s="91"/>
      <c r="B119" s="91"/>
      <c r="C119" s="91"/>
      <c r="D119" s="91" t="s">
        <v>104</v>
      </c>
      <c r="E119" s="167">
        <f>+E118</f>
        <v>0.0742</v>
      </c>
      <c r="F119" s="91">
        <v>345446</v>
      </c>
      <c r="G119" s="164">
        <v>40999</v>
      </c>
      <c r="H119" s="91">
        <f t="shared" si="17"/>
        <v>0</v>
      </c>
      <c r="I119" s="91">
        <f t="shared" si="19"/>
        <v>0</v>
      </c>
      <c r="J119" s="91"/>
      <c r="K119" s="91"/>
      <c r="L119" s="91">
        <f>+F119</f>
        <v>345446</v>
      </c>
      <c r="M119" s="91"/>
      <c r="N119" s="91"/>
      <c r="O119" s="91"/>
      <c r="P119" s="91"/>
      <c r="Q119" s="91"/>
      <c r="R119" s="91"/>
      <c r="S119" s="91"/>
      <c r="T119" s="91"/>
    </row>
    <row r="120" spans="1:20" ht="15">
      <c r="A120" s="91"/>
      <c r="B120" s="91"/>
      <c r="C120" s="91"/>
      <c r="D120" s="91"/>
      <c r="E120" s="167"/>
      <c r="F120" s="91"/>
      <c r="G120" s="91"/>
      <c r="H120" s="91"/>
      <c r="I120" s="91"/>
      <c r="J120" s="91"/>
      <c r="K120" s="91"/>
      <c r="L120" s="91"/>
      <c r="M120" s="91"/>
      <c r="N120" s="91"/>
      <c r="O120" s="91"/>
      <c r="P120" s="91"/>
      <c r="Q120" s="91"/>
      <c r="R120" s="91"/>
      <c r="S120" s="91"/>
      <c r="T120" s="91"/>
    </row>
    <row r="121" spans="1:20" ht="15.75" thickBot="1">
      <c r="A121" s="91"/>
      <c r="B121" s="91"/>
      <c r="C121" s="91"/>
      <c r="D121" s="91"/>
      <c r="E121" s="91"/>
      <c r="F121" s="174">
        <f>SUM(F108:F120)</f>
        <v>1840245</v>
      </c>
      <c r="G121" s="91"/>
      <c r="H121" s="91"/>
      <c r="I121" s="174">
        <f>SUM(I108:I120)</f>
        <v>32538</v>
      </c>
      <c r="J121" s="91"/>
      <c r="K121" s="174">
        <f>SUM(K108:K120)</f>
        <v>184876</v>
      </c>
      <c r="L121" s="174">
        <f>SUM(L108:L120)</f>
        <v>1655369</v>
      </c>
      <c r="M121" s="91">
        <f>+K121+L121</f>
        <v>1840245</v>
      </c>
      <c r="N121" s="91"/>
      <c r="O121" s="91"/>
      <c r="P121" s="91"/>
      <c r="Q121" s="91"/>
      <c r="R121" s="91"/>
      <c r="S121" s="91"/>
      <c r="T121" s="91"/>
    </row>
    <row r="122" spans="1:20" ht="15.75" thickTop="1">
      <c r="A122" s="91"/>
      <c r="B122" s="91"/>
      <c r="C122" s="91"/>
      <c r="D122" s="91"/>
      <c r="E122" s="91"/>
      <c r="F122" s="37"/>
      <c r="G122" s="91"/>
      <c r="H122" s="91"/>
      <c r="I122" s="37"/>
      <c r="J122" s="91"/>
      <c r="K122" s="37"/>
      <c r="L122" s="37"/>
      <c r="M122" s="91"/>
      <c r="N122" s="91"/>
      <c r="O122" s="91"/>
      <c r="P122" s="91"/>
      <c r="Q122" s="91"/>
      <c r="R122" s="91"/>
      <c r="S122" s="91"/>
      <c r="T122" s="91"/>
    </row>
    <row r="123" spans="1:20" ht="15">
      <c r="A123" s="91"/>
      <c r="B123" s="91"/>
      <c r="C123" s="91"/>
      <c r="D123" s="91"/>
      <c r="E123" s="91"/>
      <c r="F123" s="37">
        <f>+F106</f>
        <v>59305520</v>
      </c>
      <c r="G123" s="171" t="s">
        <v>91</v>
      </c>
      <c r="H123" s="171"/>
      <c r="I123" s="176">
        <f>+I106</f>
        <v>3703009.6180000002</v>
      </c>
      <c r="J123" s="91"/>
      <c r="K123" s="37"/>
      <c r="L123" s="37"/>
      <c r="M123" s="91"/>
      <c r="N123" s="91"/>
      <c r="O123" s="91"/>
      <c r="P123" s="91">
        <f>158525-F119</f>
        <v>-186921</v>
      </c>
      <c r="Q123" s="91"/>
      <c r="R123" s="91"/>
      <c r="S123" s="91"/>
      <c r="T123" s="91"/>
    </row>
    <row r="124" spans="1:20" ht="15">
      <c r="A124" s="91"/>
      <c r="B124" s="91"/>
      <c r="C124" s="91"/>
      <c r="D124" s="91"/>
      <c r="E124" s="91"/>
      <c r="F124" s="37">
        <f>+F121</f>
        <v>1840245</v>
      </c>
      <c r="G124" s="91" t="s">
        <v>92</v>
      </c>
      <c r="H124" s="91"/>
      <c r="I124" s="37">
        <f>+I121</f>
        <v>32538</v>
      </c>
      <c r="J124" s="91"/>
      <c r="K124" s="37"/>
      <c r="L124" s="37"/>
      <c r="M124" s="91"/>
      <c r="N124" s="91"/>
      <c r="O124" s="91"/>
      <c r="P124" s="91"/>
      <c r="Q124" s="91"/>
      <c r="R124" s="91"/>
      <c r="S124" s="91"/>
      <c r="T124" s="91"/>
    </row>
    <row r="125" spans="1:20" ht="15.75" thickBot="1">
      <c r="A125" s="91"/>
      <c r="B125" s="91"/>
      <c r="C125" s="91"/>
      <c r="D125" s="91"/>
      <c r="E125" s="91"/>
      <c r="F125" s="174">
        <f>SUM(F123:F124)</f>
        <v>61145765</v>
      </c>
      <c r="G125" s="91" t="s">
        <v>285</v>
      </c>
      <c r="H125" s="91"/>
      <c r="I125" s="174">
        <f>SUM(I123:I124)</f>
        <v>3735547.6180000002</v>
      </c>
      <c r="J125" s="91"/>
      <c r="K125" s="37"/>
      <c r="L125" s="37"/>
      <c r="M125" s="91"/>
      <c r="N125" s="91"/>
      <c r="O125" s="91"/>
      <c r="P125" s="91"/>
      <c r="Q125" s="91"/>
      <c r="R125" s="91"/>
      <c r="S125" s="91"/>
      <c r="T125" s="91"/>
    </row>
    <row r="126" spans="1:20" ht="15.75" thickTop="1">
      <c r="A126" s="91"/>
      <c r="B126" s="91"/>
      <c r="C126" s="91"/>
      <c r="D126" s="91"/>
      <c r="E126" s="91"/>
      <c r="F126" s="91"/>
      <c r="G126" s="91"/>
      <c r="H126" s="91"/>
      <c r="I126" s="91"/>
      <c r="J126" s="91"/>
      <c r="K126" s="91"/>
      <c r="L126" s="91"/>
      <c r="M126" s="91"/>
      <c r="N126" s="91"/>
      <c r="O126" s="91"/>
      <c r="P126" s="91"/>
      <c r="Q126" s="91"/>
      <c r="R126" s="91"/>
      <c r="S126" s="91"/>
      <c r="T126" s="91"/>
    </row>
    <row r="127" spans="1:20" ht="15">
      <c r="A127" s="91"/>
      <c r="B127" s="91"/>
      <c r="C127" s="166" t="s">
        <v>105</v>
      </c>
      <c r="D127" s="91"/>
      <c r="E127" s="182">
        <f>+E48</f>
        <v>0.1131</v>
      </c>
      <c r="F127" s="91"/>
      <c r="G127" s="91"/>
      <c r="H127" s="91"/>
      <c r="I127" s="91"/>
      <c r="J127" s="91"/>
      <c r="K127" s="91"/>
      <c r="L127" s="91"/>
      <c r="M127" s="91"/>
      <c r="N127" s="91"/>
      <c r="O127" s="91"/>
      <c r="P127" s="91"/>
      <c r="Q127" s="91"/>
      <c r="R127" s="91"/>
      <c r="S127" s="91"/>
      <c r="T127" s="91"/>
    </row>
    <row r="128" spans="1:20" ht="15">
      <c r="A128" s="91"/>
      <c r="B128" s="91"/>
      <c r="C128" s="91"/>
      <c r="D128" s="178" t="s">
        <v>318</v>
      </c>
      <c r="E128" s="180"/>
      <c r="F128" s="171">
        <f>+F40-F129</f>
        <v>18025036</v>
      </c>
      <c r="G128" s="170">
        <v>40634</v>
      </c>
      <c r="H128" s="171">
        <f>+$F$63-G128+1</f>
        <v>366</v>
      </c>
      <c r="I128" s="171">
        <f>+F128*$E$127*H128/365</f>
        <v>2044216.8635769864</v>
      </c>
      <c r="J128" s="91"/>
      <c r="K128" s="91"/>
      <c r="L128" s="91"/>
      <c r="M128" s="91"/>
      <c r="N128" s="91"/>
      <c r="O128" s="91"/>
      <c r="P128" s="91"/>
      <c r="Q128" s="91"/>
      <c r="R128" s="91"/>
      <c r="S128" s="91"/>
      <c r="T128" s="91"/>
    </row>
    <row r="129" spans="1:20" ht="15">
      <c r="A129" s="91"/>
      <c r="B129" s="91"/>
      <c r="C129" s="91"/>
      <c r="D129" s="178" t="s">
        <v>318</v>
      </c>
      <c r="E129" s="180"/>
      <c r="F129" s="171">
        <f>1507971+166999+206987+1129729</f>
        <v>3011686</v>
      </c>
      <c r="G129" s="170"/>
      <c r="H129" s="171">
        <v>0</v>
      </c>
      <c r="I129" s="171">
        <v>0</v>
      </c>
      <c r="J129" s="91"/>
      <c r="K129" s="91"/>
      <c r="L129" s="91"/>
      <c r="M129" s="91"/>
      <c r="N129" s="91"/>
      <c r="O129" s="91"/>
      <c r="P129" s="91"/>
      <c r="Q129" s="91"/>
      <c r="R129" s="91"/>
      <c r="S129" s="91"/>
      <c r="T129" s="91"/>
    </row>
    <row r="130" spans="1:20" ht="15.75" thickBot="1">
      <c r="A130" s="91"/>
      <c r="B130" s="91"/>
      <c r="C130" s="91"/>
      <c r="D130" s="178"/>
      <c r="E130" s="91"/>
      <c r="F130" s="181">
        <f>SUM(F128:F129)</f>
        <v>21036722</v>
      </c>
      <c r="G130" s="170"/>
      <c r="H130" s="171"/>
      <c r="I130" s="181">
        <f>SUM(I128:I129)</f>
        <v>2044216.8635769864</v>
      </c>
      <c r="J130" s="91"/>
      <c r="K130" s="91"/>
      <c r="L130" s="183"/>
      <c r="M130" s="91"/>
      <c r="N130" s="91"/>
      <c r="O130" s="91"/>
      <c r="P130" s="91"/>
      <c r="Q130" s="91"/>
      <c r="R130" s="91"/>
      <c r="S130" s="91"/>
      <c r="T130" s="91"/>
    </row>
    <row r="131" spans="1:20" ht="15.75" thickTop="1">
      <c r="A131" s="91"/>
      <c r="B131" s="91"/>
      <c r="C131" s="91"/>
      <c r="D131" s="97" t="s">
        <v>78</v>
      </c>
      <c r="E131" s="91"/>
      <c r="F131" s="91"/>
      <c r="G131" s="91"/>
      <c r="H131" s="91"/>
      <c r="I131" s="91"/>
      <c r="J131" s="91"/>
      <c r="K131" s="91"/>
      <c r="L131" s="91"/>
      <c r="M131" s="91"/>
      <c r="N131" s="91"/>
      <c r="O131" s="91"/>
      <c r="P131" s="91"/>
      <c r="Q131" s="91"/>
      <c r="R131" s="91"/>
      <c r="S131" s="91"/>
      <c r="T131" s="91"/>
    </row>
    <row r="132" spans="1:20" ht="15">
      <c r="A132" s="91"/>
      <c r="B132" s="91"/>
      <c r="C132" s="91"/>
      <c r="D132" s="91" t="s">
        <v>79</v>
      </c>
      <c r="E132" s="167">
        <f>+E40</f>
        <v>0.1131</v>
      </c>
      <c r="F132" s="91">
        <v>140839</v>
      </c>
      <c r="G132" s="164">
        <v>40663</v>
      </c>
      <c r="H132" s="91">
        <f>+$F$63-G132</f>
        <v>336</v>
      </c>
      <c r="I132" s="91">
        <f>+ROUND(F132*E132*H132/366,0)</f>
        <v>14623</v>
      </c>
      <c r="J132" s="91"/>
      <c r="K132" s="91">
        <f aca="true" t="shared" si="20" ref="K132:K137">+F132</f>
        <v>140839</v>
      </c>
      <c r="L132" s="91">
        <v>0</v>
      </c>
      <c r="M132" s="91"/>
      <c r="N132" s="91"/>
      <c r="O132" s="91"/>
      <c r="P132" s="91"/>
      <c r="Q132" s="91"/>
      <c r="R132" s="91"/>
      <c r="S132" s="91"/>
      <c r="T132" s="91"/>
    </row>
    <row r="133" spans="1:20" ht="15">
      <c r="A133" s="91"/>
      <c r="B133" s="91"/>
      <c r="C133" s="91"/>
      <c r="D133" s="91" t="s">
        <v>80</v>
      </c>
      <c r="E133" s="167">
        <v>0.1131</v>
      </c>
      <c r="F133" s="91">
        <v>0</v>
      </c>
      <c r="G133" s="164">
        <v>40694</v>
      </c>
      <c r="H133" s="91">
        <f aca="true" t="shared" si="21" ref="H133:H143">+$F$63-G133</f>
        <v>305</v>
      </c>
      <c r="I133" s="91">
        <f aca="true" t="shared" si="22" ref="I133:I143">+ROUND(F133*E133*H133/366,0)</f>
        <v>0</v>
      </c>
      <c r="J133" s="91"/>
      <c r="K133" s="91">
        <f t="shared" si="20"/>
        <v>0</v>
      </c>
      <c r="L133" s="91">
        <f>+F133</f>
        <v>0</v>
      </c>
      <c r="M133" s="91"/>
      <c r="N133" s="91"/>
      <c r="O133" s="91"/>
      <c r="P133" s="91"/>
      <c r="Q133" s="91"/>
      <c r="R133" s="91"/>
      <c r="S133" s="91"/>
      <c r="T133" s="91"/>
    </row>
    <row r="134" spans="1:20" ht="15">
      <c r="A134" s="91"/>
      <c r="B134" s="91"/>
      <c r="C134" s="91"/>
      <c r="D134" s="91" t="s">
        <v>81</v>
      </c>
      <c r="E134" s="167">
        <v>0.1131</v>
      </c>
      <c r="F134" s="91">
        <v>224141</v>
      </c>
      <c r="G134" s="164">
        <v>40724</v>
      </c>
      <c r="H134" s="91">
        <f t="shared" si="21"/>
        <v>275</v>
      </c>
      <c r="I134" s="91">
        <f t="shared" si="22"/>
        <v>19047</v>
      </c>
      <c r="J134" s="91"/>
      <c r="K134" s="91">
        <f t="shared" si="20"/>
        <v>224141</v>
      </c>
      <c r="L134" s="91">
        <v>0</v>
      </c>
      <c r="M134" s="91"/>
      <c r="N134" s="91"/>
      <c r="O134" s="91"/>
      <c r="P134" s="91"/>
      <c r="Q134" s="91"/>
      <c r="R134" s="91"/>
      <c r="S134" s="91"/>
      <c r="T134" s="91"/>
    </row>
    <row r="135" spans="1:20" ht="15">
      <c r="A135" s="91"/>
      <c r="B135" s="91"/>
      <c r="C135" s="91"/>
      <c r="D135" s="91" t="s">
        <v>82</v>
      </c>
      <c r="E135" s="167">
        <v>0.1131</v>
      </c>
      <c r="F135" s="91">
        <v>212037</v>
      </c>
      <c r="G135" s="164">
        <v>40755</v>
      </c>
      <c r="H135" s="91">
        <f t="shared" si="21"/>
        <v>244</v>
      </c>
      <c r="I135" s="91">
        <f t="shared" si="22"/>
        <v>15988</v>
      </c>
      <c r="J135" s="91"/>
      <c r="K135" s="91">
        <f t="shared" si="20"/>
        <v>212037</v>
      </c>
      <c r="L135" s="91">
        <v>0</v>
      </c>
      <c r="M135" s="91"/>
      <c r="N135" s="91"/>
      <c r="O135" s="91"/>
      <c r="P135" s="91"/>
      <c r="Q135" s="91"/>
      <c r="R135" s="91"/>
      <c r="S135" s="91"/>
      <c r="T135" s="91"/>
    </row>
    <row r="136" spans="1:20" ht="15">
      <c r="A136" s="91"/>
      <c r="B136" s="91"/>
      <c r="C136" s="91"/>
      <c r="D136" s="91" t="s">
        <v>83</v>
      </c>
      <c r="E136" s="167">
        <v>0.1131</v>
      </c>
      <c r="F136" s="91">
        <v>276922</v>
      </c>
      <c r="G136" s="164">
        <v>40786</v>
      </c>
      <c r="H136" s="91">
        <f t="shared" si="21"/>
        <v>213</v>
      </c>
      <c r="I136" s="91">
        <f t="shared" si="22"/>
        <v>18227</v>
      </c>
      <c r="J136" s="91"/>
      <c r="K136" s="91">
        <f t="shared" si="20"/>
        <v>276922</v>
      </c>
      <c r="L136" s="91">
        <v>0</v>
      </c>
      <c r="M136" s="91"/>
      <c r="N136" s="91"/>
      <c r="O136" s="91"/>
      <c r="P136" s="91"/>
      <c r="Q136" s="91"/>
      <c r="R136" s="91"/>
      <c r="S136" s="91"/>
      <c r="T136" s="91"/>
    </row>
    <row r="137" spans="1:20" ht="15">
      <c r="A137" s="91"/>
      <c r="B137" s="91"/>
      <c r="C137" s="91"/>
      <c r="D137" s="91" t="s">
        <v>106</v>
      </c>
      <c r="E137" s="167">
        <v>0.1131</v>
      </c>
      <c r="F137" s="91">
        <v>246686</v>
      </c>
      <c r="G137" s="164">
        <v>40816</v>
      </c>
      <c r="H137" s="91">
        <f t="shared" si="21"/>
        <v>183</v>
      </c>
      <c r="I137" s="91">
        <f t="shared" si="22"/>
        <v>13950</v>
      </c>
      <c r="J137" s="91"/>
      <c r="K137" s="91">
        <f t="shared" si="20"/>
        <v>246686</v>
      </c>
      <c r="L137" s="91">
        <v>0</v>
      </c>
      <c r="M137" s="91"/>
      <c r="N137" s="91"/>
      <c r="O137" s="91"/>
      <c r="P137" s="91"/>
      <c r="Q137" s="91"/>
      <c r="R137" s="91"/>
      <c r="S137" s="91"/>
      <c r="T137" s="91"/>
    </row>
    <row r="138" spans="1:20" ht="15">
      <c r="A138" s="91"/>
      <c r="B138" s="91"/>
      <c r="C138" s="91"/>
      <c r="D138" s="91" t="s">
        <v>107</v>
      </c>
      <c r="E138" s="167">
        <v>0.1131</v>
      </c>
      <c r="F138" s="91">
        <v>170454</v>
      </c>
      <c r="G138" s="164">
        <v>40847</v>
      </c>
      <c r="H138" s="91">
        <f t="shared" si="21"/>
        <v>152</v>
      </c>
      <c r="I138" s="91">
        <f t="shared" si="22"/>
        <v>8006</v>
      </c>
      <c r="J138" s="91"/>
      <c r="K138" s="91"/>
      <c r="L138" s="91">
        <f>+F138</f>
        <v>170454</v>
      </c>
      <c r="M138" s="91"/>
      <c r="N138" s="91"/>
      <c r="O138" s="91"/>
      <c r="P138" s="91"/>
      <c r="Q138" s="91"/>
      <c r="R138" s="91"/>
      <c r="S138" s="91"/>
      <c r="T138" s="91"/>
    </row>
    <row r="139" spans="1:20" ht="15">
      <c r="A139" s="91"/>
      <c r="B139" s="91"/>
      <c r="C139" s="91"/>
      <c r="D139" s="91" t="s">
        <v>108</v>
      </c>
      <c r="E139" s="167">
        <v>0.1131</v>
      </c>
      <c r="F139" s="91">
        <v>276897</v>
      </c>
      <c r="G139" s="164">
        <v>40877</v>
      </c>
      <c r="H139" s="91">
        <f t="shared" si="21"/>
        <v>122</v>
      </c>
      <c r="I139" s="91">
        <f t="shared" si="22"/>
        <v>10439</v>
      </c>
      <c r="J139" s="91"/>
      <c r="K139" s="91"/>
      <c r="L139" s="91">
        <f aca="true" t="shared" si="23" ref="L139:L144">+F139</f>
        <v>276897</v>
      </c>
      <c r="M139" s="91"/>
      <c r="N139" s="91"/>
      <c r="O139" s="91"/>
      <c r="P139" s="91"/>
      <c r="Q139" s="91"/>
      <c r="R139" s="91"/>
      <c r="S139" s="91"/>
      <c r="T139" s="91"/>
    </row>
    <row r="140" spans="1:20" ht="15">
      <c r="A140" s="91"/>
      <c r="B140" s="91"/>
      <c r="C140" s="91"/>
      <c r="D140" s="91" t="s">
        <v>109</v>
      </c>
      <c r="E140" s="167">
        <v>0.1131</v>
      </c>
      <c r="F140" s="91">
        <v>204399</v>
      </c>
      <c r="G140" s="164">
        <v>40908</v>
      </c>
      <c r="H140" s="91">
        <f t="shared" si="21"/>
        <v>91</v>
      </c>
      <c r="I140" s="91">
        <f t="shared" si="22"/>
        <v>5748</v>
      </c>
      <c r="J140" s="91"/>
      <c r="K140" s="91"/>
      <c r="L140" s="91">
        <f t="shared" si="23"/>
        <v>204399</v>
      </c>
      <c r="M140" s="91"/>
      <c r="N140" s="91"/>
      <c r="O140" s="91"/>
      <c r="P140" s="91"/>
      <c r="Q140" s="91"/>
      <c r="R140" s="91"/>
      <c r="S140" s="91"/>
      <c r="T140" s="91"/>
    </row>
    <row r="141" spans="1:20" ht="15">
      <c r="A141" s="91"/>
      <c r="B141" s="91"/>
      <c r="C141" s="91"/>
      <c r="D141" s="91" t="s">
        <v>110</v>
      </c>
      <c r="E141" s="167">
        <v>0.1131</v>
      </c>
      <c r="F141" s="91">
        <v>174812</v>
      </c>
      <c r="G141" s="164">
        <v>40939</v>
      </c>
      <c r="H141" s="91">
        <f t="shared" si="21"/>
        <v>60</v>
      </c>
      <c r="I141" s="91">
        <f t="shared" si="22"/>
        <v>3241</v>
      </c>
      <c r="J141" s="91"/>
      <c r="K141" s="91"/>
      <c r="L141" s="91">
        <f t="shared" si="23"/>
        <v>174812</v>
      </c>
      <c r="M141" s="91"/>
      <c r="N141" s="91"/>
      <c r="O141" s="91"/>
      <c r="P141" s="91"/>
      <c r="Q141" s="91"/>
      <c r="R141" s="91"/>
      <c r="S141" s="91"/>
      <c r="T141" s="91"/>
    </row>
    <row r="142" spans="1:20" ht="15">
      <c r="A142" s="91"/>
      <c r="B142" s="91"/>
      <c r="C142" s="91"/>
      <c r="D142" s="91" t="s">
        <v>111</v>
      </c>
      <c r="E142" s="167">
        <v>0.1131</v>
      </c>
      <c r="F142" s="91">
        <v>158950</v>
      </c>
      <c r="G142" s="164">
        <v>40968</v>
      </c>
      <c r="H142" s="91">
        <f t="shared" si="21"/>
        <v>31</v>
      </c>
      <c r="I142" s="91">
        <f t="shared" si="22"/>
        <v>1523</v>
      </c>
      <c r="J142" s="91"/>
      <c r="K142" s="91"/>
      <c r="L142" s="91">
        <f t="shared" si="23"/>
        <v>158950</v>
      </c>
      <c r="M142" s="91"/>
      <c r="N142" s="91"/>
      <c r="O142" s="91"/>
      <c r="P142" s="91"/>
      <c r="Q142" s="91"/>
      <c r="R142" s="91"/>
      <c r="S142" s="91"/>
      <c r="T142" s="91"/>
    </row>
    <row r="143" spans="1:20" ht="15">
      <c r="A143" s="91"/>
      <c r="B143" s="91"/>
      <c r="C143" s="91"/>
      <c r="D143" s="91" t="s">
        <v>90</v>
      </c>
      <c r="E143" s="167">
        <v>0.1131</v>
      </c>
      <c r="F143" s="91">
        <v>257638</v>
      </c>
      <c r="G143" s="164">
        <v>40999</v>
      </c>
      <c r="H143" s="91">
        <f t="shared" si="21"/>
        <v>0</v>
      </c>
      <c r="I143" s="91">
        <f t="shared" si="22"/>
        <v>0</v>
      </c>
      <c r="J143" s="91"/>
      <c r="K143" s="91"/>
      <c r="L143" s="91">
        <f t="shared" si="23"/>
        <v>257638</v>
      </c>
      <c r="M143" s="91"/>
      <c r="N143" s="91"/>
      <c r="O143" s="91"/>
      <c r="P143" s="91">
        <f>2378775-F145</f>
        <v>35000</v>
      </c>
      <c r="Q143" s="91"/>
      <c r="R143" s="91"/>
      <c r="S143" s="91"/>
      <c r="T143" s="91"/>
    </row>
    <row r="144" spans="1:20" ht="15">
      <c r="A144" s="91"/>
      <c r="B144" s="91"/>
      <c r="C144" s="91"/>
      <c r="D144" s="91"/>
      <c r="E144" s="167"/>
      <c r="F144" s="91"/>
      <c r="G144" s="91"/>
      <c r="H144" s="91"/>
      <c r="I144" s="91"/>
      <c r="J144" s="91"/>
      <c r="K144" s="91"/>
      <c r="L144" s="91">
        <f t="shared" si="23"/>
        <v>0</v>
      </c>
      <c r="M144" s="91"/>
      <c r="N144" s="91"/>
      <c r="O144" s="91"/>
      <c r="P144" s="91">
        <f>+F145+P143</f>
        <v>2378775</v>
      </c>
      <c r="Q144" s="91"/>
      <c r="R144" s="91"/>
      <c r="S144" s="91"/>
      <c r="T144" s="91"/>
    </row>
    <row r="145" spans="1:20" ht="15.75" thickBot="1">
      <c r="A145" s="91"/>
      <c r="B145" s="91"/>
      <c r="C145" s="91"/>
      <c r="D145" s="91" t="s">
        <v>367</v>
      </c>
      <c r="E145" s="91"/>
      <c r="F145" s="177">
        <f>SUM(F132:F143)</f>
        <v>2343775</v>
      </c>
      <c r="G145" s="91"/>
      <c r="H145" s="97"/>
      <c r="I145" s="177">
        <f>SUM(I132:I143)</f>
        <v>110792</v>
      </c>
      <c r="J145" s="91"/>
      <c r="K145" s="174">
        <f>SUM(K132:K143)</f>
        <v>1100625</v>
      </c>
      <c r="L145" s="174">
        <f>SUM(L132:L143)</f>
        <v>1243150</v>
      </c>
      <c r="M145" s="91">
        <f>+K145+L145</f>
        <v>2343775</v>
      </c>
      <c r="N145" s="91"/>
      <c r="O145" s="91"/>
      <c r="P145" s="91"/>
      <c r="Q145" s="91"/>
      <c r="R145" s="91"/>
      <c r="S145" s="91"/>
      <c r="T145" s="91"/>
    </row>
    <row r="146" spans="1:20" ht="15.75" thickTop="1">
      <c r="A146" s="91"/>
      <c r="B146" s="91"/>
      <c r="C146" s="91"/>
      <c r="D146" s="91"/>
      <c r="E146" s="91"/>
      <c r="F146" s="184"/>
      <c r="G146" s="91"/>
      <c r="H146" s="97"/>
      <c r="I146" s="184"/>
      <c r="J146" s="91"/>
      <c r="K146" s="37"/>
      <c r="L146" s="37"/>
      <c r="M146" s="91"/>
      <c r="N146" s="91"/>
      <c r="O146" s="91"/>
      <c r="P146" s="91"/>
      <c r="Q146" s="91"/>
      <c r="R146" s="91"/>
      <c r="S146" s="91"/>
      <c r="T146" s="91"/>
    </row>
    <row r="147" spans="1:20" ht="15">
      <c r="A147" s="91"/>
      <c r="B147" s="91"/>
      <c r="C147" s="91"/>
      <c r="D147" s="91"/>
      <c r="E147" s="91"/>
      <c r="F147" s="184">
        <f>+F130</f>
        <v>21036722</v>
      </c>
      <c r="G147" s="171" t="s">
        <v>91</v>
      </c>
      <c r="H147" s="171"/>
      <c r="I147" s="176">
        <f>+I130</f>
        <v>2044216.8635769864</v>
      </c>
      <c r="J147" s="91"/>
      <c r="K147" s="37"/>
      <c r="L147" s="37"/>
      <c r="M147" s="91"/>
      <c r="N147" s="91"/>
      <c r="O147" s="91"/>
      <c r="P147" s="91"/>
      <c r="Q147" s="91"/>
      <c r="R147" s="91"/>
      <c r="S147" s="91"/>
      <c r="T147" s="91"/>
    </row>
    <row r="148" spans="1:20" ht="15">
      <c r="A148" s="91"/>
      <c r="B148" s="91"/>
      <c r="C148" s="91"/>
      <c r="D148" s="91"/>
      <c r="E148" s="91"/>
      <c r="F148" s="184">
        <f>+F145</f>
        <v>2343775</v>
      </c>
      <c r="G148" s="91" t="s">
        <v>92</v>
      </c>
      <c r="H148" s="91"/>
      <c r="I148" s="37">
        <f>+I145</f>
        <v>110792</v>
      </c>
      <c r="J148" s="91"/>
      <c r="K148" s="37"/>
      <c r="L148" s="37"/>
      <c r="M148" s="91"/>
      <c r="N148" s="91"/>
      <c r="O148" s="91"/>
      <c r="P148" s="91"/>
      <c r="Q148" s="91"/>
      <c r="R148" s="91"/>
      <c r="S148" s="91"/>
      <c r="T148" s="91"/>
    </row>
    <row r="149" spans="1:20" ht="15.75" thickBot="1">
      <c r="A149" s="91"/>
      <c r="B149" s="91"/>
      <c r="C149" s="91"/>
      <c r="D149" s="91"/>
      <c r="E149" s="91"/>
      <c r="F149" s="177">
        <f>SUM(F147:F148)</f>
        <v>23380497</v>
      </c>
      <c r="G149" s="91" t="s">
        <v>285</v>
      </c>
      <c r="H149" s="91"/>
      <c r="I149" s="174">
        <f>SUM(I147:I148)</f>
        <v>2155008.8635769864</v>
      </c>
      <c r="J149" s="91"/>
      <c r="K149" s="37"/>
      <c r="L149" s="37"/>
      <c r="M149" s="91"/>
      <c r="N149" s="91"/>
      <c r="O149" s="91"/>
      <c r="P149" s="91"/>
      <c r="Q149" s="91"/>
      <c r="R149" s="91"/>
      <c r="S149" s="91"/>
      <c r="T149" s="91"/>
    </row>
    <row r="150" spans="1:20" ht="15.75" thickTop="1">
      <c r="A150" s="91"/>
      <c r="B150" s="91"/>
      <c r="C150" s="91"/>
      <c r="D150" s="91"/>
      <c r="E150" s="91"/>
      <c r="F150" s="184"/>
      <c r="G150" s="91"/>
      <c r="H150" s="97"/>
      <c r="I150" s="184"/>
      <c r="J150" s="91"/>
      <c r="K150" s="37"/>
      <c r="L150" s="37"/>
      <c r="M150" s="91"/>
      <c r="N150" s="91"/>
      <c r="O150" s="91"/>
      <c r="P150" s="91"/>
      <c r="Q150" s="91"/>
      <c r="R150" s="91"/>
      <c r="S150" s="91"/>
      <c r="T150" s="91"/>
    </row>
    <row r="151" spans="1:20" ht="15">
      <c r="A151" s="91"/>
      <c r="B151" s="91"/>
      <c r="C151" s="166" t="s">
        <v>112</v>
      </c>
      <c r="D151" s="91"/>
      <c r="E151" s="167">
        <v>0.0528</v>
      </c>
      <c r="F151" s="91"/>
      <c r="G151" s="91"/>
      <c r="H151" s="91"/>
      <c r="I151" s="91"/>
      <c r="J151" s="91"/>
      <c r="K151" s="37"/>
      <c r="L151" s="37"/>
      <c r="M151" s="91"/>
      <c r="N151" s="91"/>
      <c r="O151" s="91"/>
      <c r="P151" s="91"/>
      <c r="Q151" s="91"/>
      <c r="R151" s="91"/>
      <c r="S151" s="91"/>
      <c r="T151" s="91"/>
    </row>
    <row r="152" spans="1:20" ht="15">
      <c r="A152" s="91"/>
      <c r="B152" s="91"/>
      <c r="C152" s="91"/>
      <c r="D152" s="178" t="s">
        <v>318</v>
      </c>
      <c r="E152" s="167"/>
      <c r="F152" s="91"/>
      <c r="G152" s="91"/>
      <c r="H152" s="91"/>
      <c r="I152" s="91"/>
      <c r="J152" s="91"/>
      <c r="K152" s="37"/>
      <c r="L152" s="37"/>
      <c r="M152" s="91"/>
      <c r="N152" s="91"/>
      <c r="O152" s="91"/>
      <c r="P152" s="91"/>
      <c r="Q152" s="91"/>
      <c r="R152" s="91"/>
      <c r="S152" s="91"/>
      <c r="T152" s="91"/>
    </row>
    <row r="153" spans="1:20" ht="15">
      <c r="A153" s="91"/>
      <c r="B153" s="91"/>
      <c r="C153" s="91"/>
      <c r="D153" s="180" t="s">
        <v>219</v>
      </c>
      <c r="E153" s="91"/>
      <c r="F153" s="171">
        <f>4771069+244647</f>
        <v>5015716</v>
      </c>
      <c r="G153" s="170">
        <v>40634</v>
      </c>
      <c r="H153" s="171">
        <f>+$F$63-G153+1</f>
        <v>366</v>
      </c>
      <c r="I153" s="171">
        <f>+F153*$E$151*H153/365</f>
        <v>265555.3659090411</v>
      </c>
      <c r="J153" s="91"/>
      <c r="K153" s="37"/>
      <c r="L153" s="37"/>
      <c r="M153" s="91"/>
      <c r="N153" s="91"/>
      <c r="O153" s="91"/>
      <c r="P153" s="91"/>
      <c r="Q153" s="91"/>
      <c r="R153" s="91"/>
      <c r="S153" s="91"/>
      <c r="T153" s="91"/>
    </row>
    <row r="154" spans="1:20" ht="15">
      <c r="A154" s="91"/>
      <c r="B154" s="91"/>
      <c r="C154" s="91"/>
      <c r="D154" s="166"/>
      <c r="E154" s="167"/>
      <c r="F154" s="185">
        <f>SUM(F153:F153)</f>
        <v>5015716</v>
      </c>
      <c r="G154" s="171"/>
      <c r="H154" s="171"/>
      <c r="I154" s="185">
        <f>SUM(I153:I153)</f>
        <v>265555.3659090411</v>
      </c>
      <c r="J154" s="91"/>
      <c r="K154" s="37"/>
      <c r="L154" s="37"/>
      <c r="M154" s="91"/>
      <c r="N154" s="91"/>
      <c r="O154" s="91"/>
      <c r="P154" s="91"/>
      <c r="Q154" s="91"/>
      <c r="R154" s="91"/>
      <c r="S154" s="91"/>
      <c r="T154" s="91"/>
    </row>
    <row r="155" spans="1:20" ht="15">
      <c r="A155" s="91"/>
      <c r="B155" s="91"/>
      <c r="C155" s="91"/>
      <c r="D155" s="186" t="s">
        <v>215</v>
      </c>
      <c r="E155" s="187"/>
      <c r="F155" s="188"/>
      <c r="G155" s="188"/>
      <c r="H155" s="189"/>
      <c r="I155" s="189"/>
      <c r="J155" s="91"/>
      <c r="K155" s="37"/>
      <c r="L155" s="37"/>
      <c r="M155" s="91"/>
      <c r="N155" s="91"/>
      <c r="O155" s="91"/>
      <c r="P155" s="91"/>
      <c r="Q155" s="91"/>
      <c r="R155" s="91"/>
      <c r="S155" s="91"/>
      <c r="T155" s="91"/>
    </row>
    <row r="156" spans="1:20" ht="15">
      <c r="A156" s="91"/>
      <c r="B156" s="91"/>
      <c r="C156" s="91"/>
      <c r="D156" s="186" t="s">
        <v>219</v>
      </c>
      <c r="E156" s="187">
        <f>+E151</f>
        <v>0.0528</v>
      </c>
      <c r="F156" s="188">
        <v>0</v>
      </c>
      <c r="G156" s="190">
        <v>40694</v>
      </c>
      <c r="H156" s="188">
        <f>+$F$63-G156+1</f>
        <v>306</v>
      </c>
      <c r="I156" s="188">
        <f>+ROUND(F156*E156*H156/365,0)</f>
        <v>0</v>
      </c>
      <c r="J156" s="91"/>
      <c r="K156" s="37">
        <v>0</v>
      </c>
      <c r="L156" s="37">
        <f>+F156</f>
        <v>0</v>
      </c>
      <c r="M156" s="91"/>
      <c r="N156" s="91"/>
      <c r="O156" s="91"/>
      <c r="P156" s="91"/>
      <c r="Q156" s="91"/>
      <c r="R156" s="91"/>
      <c r="S156" s="91"/>
      <c r="T156" s="91"/>
    </row>
    <row r="157" spans="1:20" ht="15">
      <c r="A157" s="91"/>
      <c r="B157" s="91"/>
      <c r="C157" s="91"/>
      <c r="D157" s="186"/>
      <c r="E157" s="187"/>
      <c r="F157" s="188"/>
      <c r="G157" s="190"/>
      <c r="H157" s="188"/>
      <c r="I157" s="188"/>
      <c r="J157" s="91"/>
      <c r="K157" s="37"/>
      <c r="L157" s="37">
        <f>+F157</f>
        <v>0</v>
      </c>
      <c r="M157" s="91"/>
      <c r="N157" s="91"/>
      <c r="O157" s="91"/>
      <c r="P157" s="91"/>
      <c r="Q157" s="91"/>
      <c r="R157" s="91"/>
      <c r="S157" s="91"/>
      <c r="T157" s="91"/>
    </row>
    <row r="158" spans="1:20" ht="15.75" thickBot="1">
      <c r="A158" s="91"/>
      <c r="B158" s="91"/>
      <c r="C158" s="91"/>
      <c r="D158" s="186"/>
      <c r="E158" s="187"/>
      <c r="F158" s="191">
        <f>SUM(F156:F157)</f>
        <v>0</v>
      </c>
      <c r="G158" s="190"/>
      <c r="H158" s="188"/>
      <c r="I158" s="191">
        <f>SUM(I156:I157)</f>
        <v>0</v>
      </c>
      <c r="J158" s="91"/>
      <c r="K158" s="174">
        <f>SUM(K156:K157)</f>
        <v>0</v>
      </c>
      <c r="L158" s="174">
        <f>SUM(L156:L157)</f>
        <v>0</v>
      </c>
      <c r="M158" s="91">
        <f>+K158+L158</f>
        <v>0</v>
      </c>
      <c r="N158" s="91"/>
      <c r="O158" s="91"/>
      <c r="P158" s="91"/>
      <c r="Q158" s="91"/>
      <c r="R158" s="91"/>
      <c r="S158" s="91"/>
      <c r="T158" s="91"/>
    </row>
    <row r="159" spans="1:20" ht="15.75" thickTop="1">
      <c r="A159" s="91"/>
      <c r="B159" s="91"/>
      <c r="C159" s="91"/>
      <c r="D159" s="166"/>
      <c r="E159" s="167"/>
      <c r="F159" s="176"/>
      <c r="G159" s="171"/>
      <c r="H159" s="171"/>
      <c r="I159" s="176"/>
      <c r="J159" s="91"/>
      <c r="K159" s="37"/>
      <c r="L159" s="37"/>
      <c r="M159" s="91"/>
      <c r="N159" s="91"/>
      <c r="O159" s="91"/>
      <c r="P159" s="91"/>
      <c r="Q159" s="91"/>
      <c r="R159" s="91"/>
      <c r="S159" s="91"/>
      <c r="T159" s="91"/>
    </row>
    <row r="160" spans="1:20" ht="15">
      <c r="A160" s="91"/>
      <c r="B160" s="91"/>
      <c r="C160" s="91"/>
      <c r="D160" s="91"/>
      <c r="E160" s="91"/>
      <c r="F160" s="192">
        <f>+F153</f>
        <v>5015716</v>
      </c>
      <c r="G160" s="171" t="s">
        <v>91</v>
      </c>
      <c r="H160" s="171"/>
      <c r="I160" s="176">
        <f>+I154</f>
        <v>265555.3659090411</v>
      </c>
      <c r="J160" s="91"/>
      <c r="K160" s="37"/>
      <c r="L160" s="37"/>
      <c r="M160" s="91"/>
      <c r="N160" s="91"/>
      <c r="O160" s="91"/>
      <c r="P160" s="91"/>
      <c r="Q160" s="91"/>
      <c r="R160" s="91"/>
      <c r="S160" s="91"/>
      <c r="T160" s="91"/>
    </row>
    <row r="161" spans="1:20" ht="15">
      <c r="A161" s="91"/>
      <c r="B161" s="91"/>
      <c r="C161" s="91"/>
      <c r="D161" s="91"/>
      <c r="E161" s="91"/>
      <c r="F161" s="184">
        <f>+F158</f>
        <v>0</v>
      </c>
      <c r="G161" s="91" t="s">
        <v>92</v>
      </c>
      <c r="H161" s="91"/>
      <c r="I161" s="37">
        <f>+I158</f>
        <v>0</v>
      </c>
      <c r="J161" s="91"/>
      <c r="K161" s="37"/>
      <c r="L161" s="37"/>
      <c r="M161" s="91"/>
      <c r="N161" s="91"/>
      <c r="O161" s="91"/>
      <c r="P161" s="91"/>
      <c r="Q161" s="91"/>
      <c r="R161" s="91"/>
      <c r="S161" s="91"/>
      <c r="T161" s="91"/>
    </row>
    <row r="162" spans="1:20" ht="15.75" thickBot="1">
      <c r="A162" s="91"/>
      <c r="B162" s="91"/>
      <c r="C162" s="91"/>
      <c r="D162" s="91"/>
      <c r="E162" s="91"/>
      <c r="F162" s="177">
        <f>SUM(F160:F161)</f>
        <v>5015716</v>
      </c>
      <c r="G162" s="91" t="s">
        <v>285</v>
      </c>
      <c r="H162" s="91"/>
      <c r="I162" s="174">
        <f>SUM(I160:I161)</f>
        <v>265555.3659090411</v>
      </c>
      <c r="J162" s="91"/>
      <c r="K162" s="37"/>
      <c r="L162" s="37"/>
      <c r="M162" s="91"/>
      <c r="N162" s="91"/>
      <c r="O162" s="91"/>
      <c r="P162" s="91"/>
      <c r="Q162" s="91"/>
      <c r="R162" s="91"/>
      <c r="S162" s="91"/>
      <c r="T162" s="91"/>
    </row>
    <row r="163" spans="1:20" ht="15.75" thickTop="1">
      <c r="A163" s="91"/>
      <c r="B163" s="91"/>
      <c r="C163" s="91"/>
      <c r="D163" s="91"/>
      <c r="E163" s="91"/>
      <c r="F163" s="184"/>
      <c r="G163" s="91"/>
      <c r="H163" s="97"/>
      <c r="I163" s="184"/>
      <c r="J163" s="91"/>
      <c r="K163" s="37"/>
      <c r="L163" s="37"/>
      <c r="M163" s="91"/>
      <c r="N163" s="91"/>
      <c r="O163" s="91"/>
      <c r="P163" s="91"/>
      <c r="Q163" s="91"/>
      <c r="R163" s="91"/>
      <c r="S163" s="91"/>
      <c r="T163" s="91"/>
    </row>
    <row r="164" spans="1:20" ht="15">
      <c r="A164" s="91"/>
      <c r="B164" s="91"/>
      <c r="C164" s="91"/>
      <c r="D164" s="91"/>
      <c r="E164" s="91"/>
      <c r="F164" s="97"/>
      <c r="G164" s="91"/>
      <c r="H164" s="97"/>
      <c r="I164" s="91"/>
      <c r="J164" s="91"/>
      <c r="K164" s="91"/>
      <c r="L164" s="91"/>
      <c r="M164" s="91"/>
      <c r="N164" s="91"/>
      <c r="O164" s="91"/>
      <c r="P164" s="91"/>
      <c r="Q164" s="91"/>
      <c r="R164" s="91"/>
      <c r="S164" s="91"/>
      <c r="T164" s="91"/>
    </row>
    <row r="165" spans="1:20" ht="15">
      <c r="A165" s="91"/>
      <c r="B165" s="91"/>
      <c r="C165" s="166" t="s">
        <v>113</v>
      </c>
      <c r="D165" s="91"/>
      <c r="E165" s="167">
        <f>+E44</f>
        <v>0.0475</v>
      </c>
      <c r="F165" s="91"/>
      <c r="G165" s="91"/>
      <c r="H165" s="91"/>
      <c r="I165" s="91"/>
      <c r="J165" s="91"/>
      <c r="K165" s="91"/>
      <c r="L165" s="91"/>
      <c r="M165" s="91"/>
      <c r="N165" s="91"/>
      <c r="O165" s="91"/>
      <c r="P165" s="91"/>
      <c r="Q165" s="91"/>
      <c r="R165" s="91"/>
      <c r="S165" s="91"/>
      <c r="T165" s="91"/>
    </row>
    <row r="166" spans="1:20" ht="15">
      <c r="A166" s="91"/>
      <c r="B166" s="91"/>
      <c r="C166" s="91"/>
      <c r="D166" s="178" t="s">
        <v>318</v>
      </c>
      <c r="E166" s="167"/>
      <c r="F166" s="91"/>
      <c r="G166" s="91"/>
      <c r="H166" s="91"/>
      <c r="I166" s="91"/>
      <c r="J166" s="91"/>
      <c r="K166" s="91"/>
      <c r="L166" s="91"/>
      <c r="M166" s="91"/>
      <c r="N166" s="91"/>
      <c r="O166" s="91"/>
      <c r="P166" s="91"/>
      <c r="Q166" s="91"/>
      <c r="R166" s="91"/>
      <c r="S166" s="91"/>
      <c r="T166" s="91"/>
    </row>
    <row r="167" spans="1:20" ht="15">
      <c r="A167" s="91"/>
      <c r="B167" s="91"/>
      <c r="C167" s="91"/>
      <c r="D167" s="180" t="s">
        <v>114</v>
      </c>
      <c r="E167" s="91"/>
      <c r="F167" s="171">
        <v>2760509</v>
      </c>
      <c r="G167" s="170">
        <v>40634</v>
      </c>
      <c r="H167" s="171">
        <f>+$F$63-G167+1</f>
        <v>366</v>
      </c>
      <c r="I167" s="171">
        <f>+F167*$E$165*H167/365</f>
        <v>131483.4218219178</v>
      </c>
      <c r="J167" s="91"/>
      <c r="K167" s="91"/>
      <c r="L167" s="91"/>
      <c r="M167" s="91"/>
      <c r="N167" s="91"/>
      <c r="O167" s="91"/>
      <c r="P167" s="91"/>
      <c r="Q167" s="91"/>
      <c r="R167" s="91"/>
      <c r="S167" s="91"/>
      <c r="T167" s="91"/>
    </row>
    <row r="168" spans="1:20" ht="15">
      <c r="A168" s="91"/>
      <c r="B168" s="91"/>
      <c r="C168" s="91"/>
      <c r="D168" s="180" t="s">
        <v>115</v>
      </c>
      <c r="E168" s="91"/>
      <c r="F168" s="171">
        <v>231963</v>
      </c>
      <c r="G168" s="170">
        <v>40634</v>
      </c>
      <c r="H168" s="171">
        <f>+$F$63-G168+1</f>
        <v>366</v>
      </c>
      <c r="I168" s="171">
        <f>+F168*$E$165*H168/365</f>
        <v>11048.429465753425</v>
      </c>
      <c r="J168" s="91"/>
      <c r="K168" s="91"/>
      <c r="L168" s="91"/>
      <c r="M168" s="91"/>
      <c r="N168" s="91"/>
      <c r="O168" s="91"/>
      <c r="P168" s="91"/>
      <c r="Q168" s="91"/>
      <c r="R168" s="91"/>
      <c r="S168" s="91"/>
      <c r="T168" s="91"/>
    </row>
    <row r="169" spans="1:20" ht="15">
      <c r="A169" s="91"/>
      <c r="B169" s="91"/>
      <c r="C169" s="91"/>
      <c r="D169" s="180" t="s">
        <v>497</v>
      </c>
      <c r="E169" s="91"/>
      <c r="F169" s="171">
        <f>816996+671520</f>
        <v>1488516</v>
      </c>
      <c r="G169" s="170">
        <v>40634</v>
      </c>
      <c r="H169" s="171">
        <f>+$F$63-G169+1</f>
        <v>366</v>
      </c>
      <c r="I169" s="171">
        <f>+F169*$E$165*H169/365</f>
        <v>70898.22098630136</v>
      </c>
      <c r="J169" s="91"/>
      <c r="K169" s="91"/>
      <c r="L169" s="91"/>
      <c r="M169" s="91"/>
      <c r="N169" s="91"/>
      <c r="O169" s="91"/>
      <c r="P169" s="91"/>
      <c r="Q169" s="91"/>
      <c r="R169" s="91"/>
      <c r="S169" s="91"/>
      <c r="T169" s="91"/>
    </row>
    <row r="170" spans="1:20" ht="15.75" thickBot="1">
      <c r="A170" s="91"/>
      <c r="B170" s="91"/>
      <c r="C170" s="91"/>
      <c r="D170" s="166"/>
      <c r="E170" s="167"/>
      <c r="F170" s="181">
        <f>SUM(F167:F169)</f>
        <v>4480988</v>
      </c>
      <c r="G170" s="171"/>
      <c r="H170" s="171"/>
      <c r="I170" s="181">
        <f>SUM(I167:I169)</f>
        <v>213430.07227397256</v>
      </c>
      <c r="J170" s="91"/>
      <c r="K170" s="91"/>
      <c r="L170" s="91"/>
      <c r="M170" s="91"/>
      <c r="N170" s="91"/>
      <c r="O170" s="91"/>
      <c r="P170" s="91"/>
      <c r="Q170" s="91"/>
      <c r="R170" s="91"/>
      <c r="S170" s="91"/>
      <c r="T170" s="91"/>
    </row>
    <row r="171" spans="1:20" ht="15.75" thickTop="1">
      <c r="A171" s="91"/>
      <c r="B171" s="91"/>
      <c r="C171" s="91"/>
      <c r="D171" s="91" t="s">
        <v>78</v>
      </c>
      <c r="E171" s="91"/>
      <c r="F171" s="91"/>
      <c r="G171" s="91"/>
      <c r="H171" s="91"/>
      <c r="I171" s="91"/>
      <c r="J171" s="91"/>
      <c r="K171" s="91"/>
      <c r="L171" s="91"/>
      <c r="M171" s="91"/>
      <c r="N171" s="91"/>
      <c r="O171" s="91"/>
      <c r="P171" s="91"/>
      <c r="Q171" s="91"/>
      <c r="R171" s="91"/>
      <c r="S171" s="91"/>
      <c r="T171" s="91"/>
    </row>
    <row r="172" spans="1:20" ht="15">
      <c r="A172" s="91"/>
      <c r="B172" s="91"/>
      <c r="C172" s="91"/>
      <c r="D172" s="91" t="s">
        <v>116</v>
      </c>
      <c r="E172" s="182">
        <f>+E165</f>
        <v>0.0475</v>
      </c>
      <c r="F172" s="91">
        <v>0</v>
      </c>
      <c r="G172" s="164">
        <v>40678</v>
      </c>
      <c r="H172" s="91">
        <f>+$F$63-G172</f>
        <v>321</v>
      </c>
      <c r="I172" s="91">
        <f>+ROUND(F172*E172*H172/365,0)</f>
        <v>0</v>
      </c>
      <c r="J172" s="91"/>
      <c r="K172" s="91"/>
      <c r="L172" s="91">
        <f>+F172</f>
        <v>0</v>
      </c>
      <c r="M172" s="91"/>
      <c r="N172" s="91"/>
      <c r="O172" s="91"/>
      <c r="P172" s="91"/>
      <c r="Q172" s="91"/>
      <c r="R172" s="91"/>
      <c r="S172" s="91"/>
      <c r="T172" s="91"/>
    </row>
    <row r="173" spans="1:20" ht="15">
      <c r="A173" s="91"/>
      <c r="B173" s="91"/>
      <c r="C173" s="91"/>
      <c r="D173" s="91" t="s">
        <v>86</v>
      </c>
      <c r="E173" s="182">
        <f>+E172</f>
        <v>0.0475</v>
      </c>
      <c r="F173" s="91">
        <v>0</v>
      </c>
      <c r="G173" s="164">
        <v>40865</v>
      </c>
      <c r="H173" s="91">
        <f>+$F$63-G173</f>
        <v>134</v>
      </c>
      <c r="I173" s="91">
        <f>+ROUND(F173*E173*H173/365,0)</f>
        <v>0</v>
      </c>
      <c r="J173" s="91"/>
      <c r="K173" s="91">
        <f>+F173</f>
        <v>0</v>
      </c>
      <c r="L173" s="91"/>
      <c r="M173" s="91"/>
      <c r="N173" s="91"/>
      <c r="O173" s="91"/>
      <c r="P173" s="91"/>
      <c r="Q173" s="91"/>
      <c r="R173" s="91"/>
      <c r="S173" s="91"/>
      <c r="T173" s="91"/>
    </row>
    <row r="174" spans="1:20" ht="15">
      <c r="A174" s="91"/>
      <c r="B174" s="91"/>
      <c r="C174" s="91"/>
      <c r="D174" s="91"/>
      <c r="E174" s="167"/>
      <c r="F174" s="91"/>
      <c r="G174" s="91"/>
      <c r="H174" s="91"/>
      <c r="I174" s="91"/>
      <c r="J174" s="91"/>
      <c r="K174" s="91"/>
      <c r="L174" s="91"/>
      <c r="M174" s="91"/>
      <c r="N174" s="91"/>
      <c r="O174" s="91"/>
      <c r="P174" s="91"/>
      <c r="Q174" s="91"/>
      <c r="R174" s="91"/>
      <c r="S174" s="91"/>
      <c r="T174" s="91"/>
    </row>
    <row r="175" spans="1:20" ht="15.75" thickBot="1">
      <c r="A175" s="91"/>
      <c r="B175" s="91"/>
      <c r="C175" s="91"/>
      <c r="D175" s="91"/>
      <c r="E175" s="91"/>
      <c r="F175" s="177">
        <f>SUM(F172:F174)</f>
        <v>0</v>
      </c>
      <c r="G175" s="97"/>
      <c r="H175" s="97"/>
      <c r="I175" s="174">
        <f>SUM(I172:I174)</f>
        <v>0</v>
      </c>
      <c r="J175" s="91"/>
      <c r="K175" s="174">
        <f>SUM(K172:K174)</f>
        <v>0</v>
      </c>
      <c r="L175" s="174">
        <f>SUM(L172:L174)</f>
        <v>0</v>
      </c>
      <c r="M175" s="91">
        <f>+K175+L175</f>
        <v>0</v>
      </c>
      <c r="N175" s="91"/>
      <c r="O175" s="91"/>
      <c r="P175" s="91"/>
      <c r="Q175" s="91"/>
      <c r="R175" s="91"/>
      <c r="S175" s="91"/>
      <c r="T175" s="91"/>
    </row>
    <row r="176" spans="1:20" ht="15.75" thickTop="1">
      <c r="A176" s="91"/>
      <c r="B176" s="91"/>
      <c r="C176" s="171" t="s">
        <v>117</v>
      </c>
      <c r="D176" s="91"/>
      <c r="E176" s="91"/>
      <c r="F176" s="192">
        <f>+F170+F130+F154+F106</f>
        <v>89838946</v>
      </c>
      <c r="G176" s="97"/>
      <c r="H176" s="97"/>
      <c r="I176" s="37"/>
      <c r="J176" s="91"/>
      <c r="K176" s="37"/>
      <c r="L176" s="37"/>
      <c r="M176" s="91"/>
      <c r="N176" s="91"/>
      <c r="O176" s="91"/>
      <c r="P176" s="91"/>
      <c r="Q176" s="91"/>
      <c r="R176" s="91"/>
      <c r="S176" s="91"/>
      <c r="T176" s="91"/>
    </row>
    <row r="177" spans="1:20" ht="15">
      <c r="A177" s="91"/>
      <c r="B177" s="91"/>
      <c r="C177" s="171"/>
      <c r="D177" s="91"/>
      <c r="E177" s="91"/>
      <c r="F177" s="192"/>
      <c r="G177" s="97"/>
      <c r="H177" s="97"/>
      <c r="I177" s="37"/>
      <c r="J177" s="91"/>
      <c r="K177" s="37"/>
      <c r="L177" s="37"/>
      <c r="M177" s="91"/>
      <c r="N177" s="91"/>
      <c r="O177" s="91"/>
      <c r="P177" s="91"/>
      <c r="Q177" s="91"/>
      <c r="R177" s="91"/>
      <c r="S177" s="91"/>
      <c r="T177" s="91"/>
    </row>
    <row r="178" spans="1:20" ht="15">
      <c r="A178" s="91"/>
      <c r="B178" s="91"/>
      <c r="C178" s="171"/>
      <c r="D178" s="91"/>
      <c r="E178" s="91"/>
      <c r="F178" s="192">
        <f>+F170</f>
        <v>4480988</v>
      </c>
      <c r="G178" s="171" t="s">
        <v>91</v>
      </c>
      <c r="H178" s="171"/>
      <c r="I178" s="176">
        <f>+I170</f>
        <v>213430.07227397256</v>
      </c>
      <c r="J178" s="91"/>
      <c r="K178" s="37"/>
      <c r="L178" s="37"/>
      <c r="M178" s="91"/>
      <c r="N178" s="91"/>
      <c r="O178" s="91"/>
      <c r="P178" s="91"/>
      <c r="Q178" s="91"/>
      <c r="R178" s="91"/>
      <c r="S178" s="91"/>
      <c r="T178" s="91"/>
    </row>
    <row r="179" spans="1:20" ht="15">
      <c r="A179" s="91"/>
      <c r="B179" s="91"/>
      <c r="C179" s="171"/>
      <c r="D179" s="91"/>
      <c r="E179" s="91"/>
      <c r="F179" s="186">
        <f>+F175</f>
        <v>0</v>
      </c>
      <c r="G179" s="91" t="s">
        <v>92</v>
      </c>
      <c r="H179" s="91"/>
      <c r="I179" s="37">
        <f>+I175</f>
        <v>0</v>
      </c>
      <c r="J179" s="91"/>
      <c r="K179" s="37"/>
      <c r="L179" s="37"/>
      <c r="M179" s="91"/>
      <c r="N179" s="91"/>
      <c r="O179" s="91"/>
      <c r="P179" s="91"/>
      <c r="Q179" s="91"/>
      <c r="R179" s="91"/>
      <c r="S179" s="91"/>
      <c r="T179" s="91"/>
    </row>
    <row r="180" spans="1:20" ht="15.75" thickBot="1">
      <c r="A180" s="91"/>
      <c r="B180" s="91"/>
      <c r="C180" s="91"/>
      <c r="D180" s="91"/>
      <c r="E180" s="91"/>
      <c r="F180" s="174">
        <f>SUM(F178:F179)</f>
        <v>4480988</v>
      </c>
      <c r="G180" s="91" t="s">
        <v>285</v>
      </c>
      <c r="H180" s="91"/>
      <c r="I180" s="174">
        <f>SUM(I178:I179)</f>
        <v>213430.07227397256</v>
      </c>
      <c r="J180" s="91"/>
      <c r="K180" s="37"/>
      <c r="L180" s="37"/>
      <c r="M180" s="91"/>
      <c r="N180" s="91"/>
      <c r="O180" s="91"/>
      <c r="P180" s="91"/>
      <c r="Q180" s="91"/>
      <c r="R180" s="91"/>
      <c r="S180" s="91"/>
      <c r="T180" s="91"/>
    </row>
    <row r="181" spans="1:20" ht="15.75" thickTop="1">
      <c r="A181" s="91"/>
      <c r="B181" s="91"/>
      <c r="C181" s="91"/>
      <c r="D181" s="91"/>
      <c r="E181" s="91"/>
      <c r="F181" s="184"/>
      <c r="G181" s="97"/>
      <c r="H181" s="97"/>
      <c r="I181" s="37"/>
      <c r="J181" s="91"/>
      <c r="K181" s="37"/>
      <c r="L181" s="37"/>
      <c r="M181" s="91"/>
      <c r="N181" s="91"/>
      <c r="O181" s="91"/>
      <c r="P181" s="91"/>
      <c r="Q181" s="91"/>
      <c r="R181" s="91"/>
      <c r="S181" s="91"/>
      <c r="T181" s="91"/>
    </row>
    <row r="182" spans="1:20" ht="15">
      <c r="A182" s="91"/>
      <c r="B182" s="91"/>
      <c r="C182" s="171" t="s">
        <v>118</v>
      </c>
      <c r="D182" s="91"/>
      <c r="E182" s="182">
        <v>0.0633</v>
      </c>
      <c r="F182" s="184"/>
      <c r="G182" s="97"/>
      <c r="H182" s="97"/>
      <c r="I182" s="37"/>
      <c r="J182" s="91"/>
      <c r="K182" s="37"/>
      <c r="L182" s="37"/>
      <c r="M182" s="91"/>
      <c r="N182" s="91"/>
      <c r="O182" s="91"/>
      <c r="P182" s="91"/>
      <c r="Q182" s="91"/>
      <c r="R182" s="91"/>
      <c r="S182" s="91"/>
      <c r="T182" s="91"/>
    </row>
    <row r="183" spans="1:20" ht="15">
      <c r="A183" s="91"/>
      <c r="B183" s="91"/>
      <c r="C183" s="91"/>
      <c r="D183" s="178" t="s">
        <v>318</v>
      </c>
      <c r="E183" s="167"/>
      <c r="F183" s="91"/>
      <c r="G183" s="91"/>
      <c r="H183" s="91"/>
      <c r="I183" s="91"/>
      <c r="J183" s="91"/>
      <c r="K183" s="37"/>
      <c r="L183" s="37"/>
      <c r="M183" s="91"/>
      <c r="N183" s="91"/>
      <c r="O183" s="91"/>
      <c r="P183" s="91"/>
      <c r="Q183" s="91"/>
      <c r="R183" s="91"/>
      <c r="S183" s="91"/>
      <c r="T183" s="91"/>
    </row>
    <row r="184" spans="1:20" ht="15">
      <c r="A184" s="91"/>
      <c r="B184" s="91"/>
      <c r="C184" s="91"/>
      <c r="D184" s="180" t="s">
        <v>495</v>
      </c>
      <c r="E184" s="167" t="s">
        <v>119</v>
      </c>
      <c r="F184" s="91">
        <v>246570</v>
      </c>
      <c r="G184" s="91"/>
      <c r="H184" s="91">
        <v>0</v>
      </c>
      <c r="I184" s="91">
        <v>0</v>
      </c>
      <c r="J184" s="91"/>
      <c r="K184" s="37"/>
      <c r="L184" s="37"/>
      <c r="M184" s="91"/>
      <c r="N184" s="91"/>
      <c r="O184" s="91"/>
      <c r="P184" s="91"/>
      <c r="Q184" s="91"/>
      <c r="R184" s="91"/>
      <c r="S184" s="91"/>
      <c r="T184" s="91"/>
    </row>
    <row r="185" spans="1:20" ht="15">
      <c r="A185" s="91"/>
      <c r="B185" s="91"/>
      <c r="C185" s="91"/>
      <c r="D185" s="180" t="s">
        <v>495</v>
      </c>
      <c r="E185" s="91" t="s">
        <v>120</v>
      </c>
      <c r="F185" s="171">
        <f>+F45-F184</f>
        <v>463444</v>
      </c>
      <c r="G185" s="170">
        <v>40634</v>
      </c>
      <c r="H185" s="171">
        <f>+$F$63-G185+1</f>
        <v>366</v>
      </c>
      <c r="I185" s="171">
        <f>+F185*$E$182*H185/365</f>
        <v>29416.377816986296</v>
      </c>
      <c r="J185" s="91"/>
      <c r="K185" s="37"/>
      <c r="L185" s="37"/>
      <c r="M185" s="91"/>
      <c r="N185" s="91"/>
      <c r="O185" s="91"/>
      <c r="P185" s="91"/>
      <c r="Q185" s="91"/>
      <c r="R185" s="91"/>
      <c r="S185" s="91"/>
      <c r="T185" s="91"/>
    </row>
    <row r="186" spans="1:20" ht="15.75" thickBot="1">
      <c r="A186" s="91"/>
      <c r="B186" s="91"/>
      <c r="C186" s="91"/>
      <c r="D186" s="166"/>
      <c r="E186" s="167"/>
      <c r="F186" s="181">
        <f>SUM(F185:F185)</f>
        <v>463444</v>
      </c>
      <c r="G186" s="171"/>
      <c r="H186" s="171"/>
      <c r="I186" s="181">
        <f>SUM(I185:I185)</f>
        <v>29416.377816986296</v>
      </c>
      <c r="J186" s="91"/>
      <c r="K186" s="37"/>
      <c r="L186" s="37"/>
      <c r="M186" s="91"/>
      <c r="N186" s="91"/>
      <c r="O186" s="91"/>
      <c r="P186" s="91"/>
      <c r="Q186" s="91"/>
      <c r="R186" s="91"/>
      <c r="S186" s="91"/>
      <c r="T186" s="91"/>
    </row>
    <row r="187" spans="1:20" ht="15.75" thickTop="1">
      <c r="A187" s="91"/>
      <c r="B187" s="91"/>
      <c r="C187" s="91"/>
      <c r="D187" s="166"/>
      <c r="E187" s="167"/>
      <c r="F187" s="176"/>
      <c r="G187" s="171"/>
      <c r="H187" s="171"/>
      <c r="I187" s="176"/>
      <c r="J187" s="91"/>
      <c r="K187" s="37"/>
      <c r="L187" s="37"/>
      <c r="M187" s="91"/>
      <c r="N187" s="91"/>
      <c r="O187" s="91"/>
      <c r="P187" s="91"/>
      <c r="Q187" s="91"/>
      <c r="R187" s="91"/>
      <c r="S187" s="91"/>
      <c r="T187" s="91"/>
    </row>
    <row r="188" spans="1:20" ht="15">
      <c r="A188" s="91"/>
      <c r="B188" s="91"/>
      <c r="C188" s="91"/>
      <c r="D188" s="97" t="s">
        <v>121</v>
      </c>
      <c r="E188" s="167"/>
      <c r="F188" s="176"/>
      <c r="G188" s="171"/>
      <c r="H188" s="171"/>
      <c r="I188" s="176"/>
      <c r="J188" s="91"/>
      <c r="K188" s="37"/>
      <c r="L188" s="37"/>
      <c r="M188" s="91"/>
      <c r="N188" s="91"/>
      <c r="O188" s="91"/>
      <c r="P188" s="91"/>
      <c r="Q188" s="91"/>
      <c r="R188" s="91"/>
      <c r="S188" s="91"/>
      <c r="T188" s="91"/>
    </row>
    <row r="189" spans="1:20" ht="15">
      <c r="A189" s="91"/>
      <c r="B189" s="91"/>
      <c r="C189" s="91"/>
      <c r="D189" s="97" t="s">
        <v>122</v>
      </c>
      <c r="E189" s="167"/>
      <c r="F189" s="37">
        <v>30260</v>
      </c>
      <c r="G189" s="164">
        <v>40694</v>
      </c>
      <c r="H189" s="163">
        <f>+F63-G189</f>
        <v>305</v>
      </c>
      <c r="I189" s="193">
        <f>+ROUND(F189*$E$182*H189/366,0)</f>
        <v>1596</v>
      </c>
      <c r="J189" s="91"/>
      <c r="K189" s="37">
        <f>+F189</f>
        <v>30260</v>
      </c>
      <c r="L189" s="37">
        <v>0</v>
      </c>
      <c r="M189" s="91"/>
      <c r="N189" s="91"/>
      <c r="O189" s="91"/>
      <c r="P189" s="91"/>
      <c r="Q189" s="91"/>
      <c r="R189" s="91"/>
      <c r="S189" s="91"/>
      <c r="T189" s="91"/>
    </row>
    <row r="190" spans="1:20" ht="15">
      <c r="A190" s="91"/>
      <c r="B190" s="91"/>
      <c r="C190" s="91"/>
      <c r="D190" s="97"/>
      <c r="E190" s="167"/>
      <c r="F190" s="37">
        <v>16000</v>
      </c>
      <c r="G190" s="164">
        <v>40786</v>
      </c>
      <c r="H190" s="194">
        <f>+F63-G190</f>
        <v>213</v>
      </c>
      <c r="I190" s="193">
        <f>+ROUND(F190*$E$182*H190/366,0)</f>
        <v>589</v>
      </c>
      <c r="J190" s="91"/>
      <c r="K190" s="37">
        <f>+F190</f>
        <v>16000</v>
      </c>
      <c r="L190" s="37">
        <v>0</v>
      </c>
      <c r="M190" s="91"/>
      <c r="N190" s="91"/>
      <c r="O190" s="91"/>
      <c r="P190" s="91"/>
      <c r="Q190" s="91"/>
      <c r="R190" s="91"/>
      <c r="S190" s="91"/>
      <c r="T190" s="91"/>
    </row>
    <row r="191" spans="1:20" ht="15.75" thickBot="1">
      <c r="A191" s="91"/>
      <c r="B191" s="91"/>
      <c r="C191" s="91"/>
      <c r="D191" s="166"/>
      <c r="E191" s="167"/>
      <c r="F191" s="181">
        <f>SUM(F189:F190)</f>
        <v>46260</v>
      </c>
      <c r="G191" s="171"/>
      <c r="H191" s="171"/>
      <c r="I191" s="195">
        <f>SUM(I189:I190)</f>
        <v>2185</v>
      </c>
      <c r="J191" s="91"/>
      <c r="K191" s="174">
        <f>SUM(K189:K190)</f>
        <v>46260</v>
      </c>
      <c r="L191" s="174">
        <f>SUM(L189:L190)</f>
        <v>0</v>
      </c>
      <c r="M191" s="91"/>
      <c r="N191" s="91"/>
      <c r="O191" s="91"/>
      <c r="P191" s="91"/>
      <c r="Q191" s="91"/>
      <c r="R191" s="91"/>
      <c r="S191" s="91"/>
      <c r="T191" s="91"/>
    </row>
    <row r="192" spans="1:20" ht="15.75" thickTop="1">
      <c r="A192" s="91"/>
      <c r="B192" s="91"/>
      <c r="C192" s="91"/>
      <c r="D192" s="166"/>
      <c r="E192" s="167"/>
      <c r="F192" s="176"/>
      <c r="G192" s="171"/>
      <c r="H192" s="171"/>
      <c r="I192" s="176"/>
      <c r="J192" s="91"/>
      <c r="K192" s="37"/>
      <c r="L192" s="37"/>
      <c r="M192" s="91"/>
      <c r="N192" s="91"/>
      <c r="O192" s="91"/>
      <c r="P192" s="91"/>
      <c r="Q192" s="91"/>
      <c r="R192" s="91"/>
      <c r="S192" s="91"/>
      <c r="T192" s="91"/>
    </row>
    <row r="193" spans="1:20" ht="15">
      <c r="A193" s="91"/>
      <c r="B193" s="91"/>
      <c r="C193" s="91"/>
      <c r="D193" s="166"/>
      <c r="E193" s="167"/>
      <c r="F193" s="176">
        <f>+F186</f>
        <v>463444</v>
      </c>
      <c r="G193" s="171" t="s">
        <v>91</v>
      </c>
      <c r="H193" s="171"/>
      <c r="I193" s="176">
        <f>+I186</f>
        <v>29416.377816986296</v>
      </c>
      <c r="J193" s="91"/>
      <c r="K193" s="37"/>
      <c r="L193" s="37"/>
      <c r="M193" s="91"/>
      <c r="N193" s="91"/>
      <c r="O193" s="91"/>
      <c r="P193" s="91"/>
      <c r="Q193" s="91"/>
      <c r="R193" s="91"/>
      <c r="S193" s="91"/>
      <c r="T193" s="91"/>
    </row>
    <row r="194" spans="1:20" ht="15">
      <c r="A194" s="91"/>
      <c r="B194" s="91"/>
      <c r="C194" s="91"/>
      <c r="D194" s="166"/>
      <c r="E194" s="167"/>
      <c r="F194" s="37">
        <f>+F191</f>
        <v>46260</v>
      </c>
      <c r="G194" s="91" t="s">
        <v>92</v>
      </c>
      <c r="H194" s="91"/>
      <c r="I194" s="37">
        <f>+I191</f>
        <v>2185</v>
      </c>
      <c r="J194" s="91"/>
      <c r="K194" s="37"/>
      <c r="L194" s="37"/>
      <c r="M194" s="91"/>
      <c r="N194" s="91"/>
      <c r="O194" s="91"/>
      <c r="P194" s="91"/>
      <c r="Q194" s="91"/>
      <c r="R194" s="91"/>
      <c r="S194" s="91"/>
      <c r="T194" s="91"/>
    </row>
    <row r="195" spans="1:20" ht="15.75" thickBot="1">
      <c r="A195" s="91"/>
      <c r="B195" s="91"/>
      <c r="C195" s="91"/>
      <c r="D195" s="166"/>
      <c r="E195" s="167"/>
      <c r="F195" s="174">
        <f>SUM(F193:F194)</f>
        <v>509704</v>
      </c>
      <c r="G195" s="91" t="s">
        <v>285</v>
      </c>
      <c r="H195" s="91"/>
      <c r="I195" s="174">
        <f>SUM(I193:I194)</f>
        <v>31601.377816986296</v>
      </c>
      <c r="J195" s="91"/>
      <c r="K195" s="37"/>
      <c r="L195" s="37"/>
      <c r="M195" s="91"/>
      <c r="N195" s="91"/>
      <c r="O195" s="91"/>
      <c r="P195" s="91"/>
      <c r="Q195" s="91"/>
      <c r="R195" s="91"/>
      <c r="S195" s="91"/>
      <c r="T195" s="91"/>
    </row>
    <row r="196" spans="1:20" ht="15.75" thickTop="1">
      <c r="A196" s="91"/>
      <c r="B196" s="91"/>
      <c r="C196" s="91"/>
      <c r="D196" s="166"/>
      <c r="E196" s="167"/>
      <c r="F196" s="176"/>
      <c r="G196" s="171"/>
      <c r="H196" s="171"/>
      <c r="I196" s="176"/>
      <c r="J196" s="91"/>
      <c r="K196" s="37"/>
      <c r="L196" s="37"/>
      <c r="M196" s="91"/>
      <c r="N196" s="91"/>
      <c r="O196" s="91"/>
      <c r="P196" s="91"/>
      <c r="Q196" s="91"/>
      <c r="R196" s="91"/>
      <c r="S196" s="91"/>
      <c r="T196" s="91"/>
    </row>
    <row r="197" spans="1:20" ht="15">
      <c r="A197" s="91"/>
      <c r="B197" s="91"/>
      <c r="C197" s="171" t="s">
        <v>123</v>
      </c>
      <c r="D197" s="91"/>
      <c r="E197" s="182">
        <v>0.0475</v>
      </c>
      <c r="F197" s="184"/>
      <c r="G197" s="97"/>
      <c r="H197" s="97"/>
      <c r="I197" s="37"/>
      <c r="J197" s="91"/>
      <c r="K197" s="37"/>
      <c r="L197" s="37"/>
      <c r="M197" s="91"/>
      <c r="N197" s="91"/>
      <c r="O197" s="91"/>
      <c r="P197" s="91"/>
      <c r="Q197" s="91"/>
      <c r="R197" s="91"/>
      <c r="S197" s="91"/>
      <c r="T197" s="91"/>
    </row>
    <row r="198" spans="1:20" ht="15">
      <c r="A198" s="91"/>
      <c r="B198" s="91"/>
      <c r="C198" s="91"/>
      <c r="D198" s="178" t="s">
        <v>318</v>
      </c>
      <c r="E198" s="167"/>
      <c r="F198" s="91"/>
      <c r="G198" s="91"/>
      <c r="H198" s="91"/>
      <c r="I198" s="91"/>
      <c r="J198" s="91"/>
      <c r="K198" s="37"/>
      <c r="L198" s="37"/>
      <c r="M198" s="91"/>
      <c r="N198" s="91"/>
      <c r="O198" s="91"/>
      <c r="P198" s="91"/>
      <c r="Q198" s="91"/>
      <c r="R198" s="91"/>
      <c r="S198" s="91"/>
      <c r="T198" s="91"/>
    </row>
    <row r="199" spans="1:20" ht="15">
      <c r="A199" s="91"/>
      <c r="B199" s="91"/>
      <c r="C199" s="91"/>
      <c r="D199" s="180" t="s">
        <v>124</v>
      </c>
      <c r="E199" s="91"/>
      <c r="F199" s="171">
        <f>+F46</f>
        <v>523151</v>
      </c>
      <c r="G199" s="170">
        <v>40634</v>
      </c>
      <c r="H199" s="171">
        <f>+$F$63-G199+1</f>
        <v>366</v>
      </c>
      <c r="I199" s="171">
        <f>+F199*$E$197*H199/365</f>
        <v>24917.753794520548</v>
      </c>
      <c r="J199" s="91"/>
      <c r="K199" s="37"/>
      <c r="L199" s="37"/>
      <c r="M199" s="91"/>
      <c r="N199" s="91"/>
      <c r="O199" s="91"/>
      <c r="P199" s="91"/>
      <c r="Q199" s="91"/>
      <c r="R199" s="91"/>
      <c r="S199" s="91"/>
      <c r="T199" s="91"/>
    </row>
    <row r="200" spans="1:20" ht="15.75" thickBot="1">
      <c r="A200" s="91"/>
      <c r="B200" s="91"/>
      <c r="C200" s="91"/>
      <c r="D200" s="166"/>
      <c r="E200" s="167"/>
      <c r="F200" s="181">
        <f>SUM(F199:F199)</f>
        <v>523151</v>
      </c>
      <c r="G200" s="171"/>
      <c r="H200" s="171"/>
      <c r="I200" s="181">
        <f>SUM(I199:I199)</f>
        <v>24917.753794520548</v>
      </c>
      <c r="J200" s="91"/>
      <c r="K200" s="37"/>
      <c r="L200" s="37"/>
      <c r="M200" s="91"/>
      <c r="N200" s="91"/>
      <c r="O200" s="91"/>
      <c r="P200" s="91"/>
      <c r="Q200" s="91"/>
      <c r="R200" s="91"/>
      <c r="S200" s="91"/>
      <c r="T200" s="91"/>
    </row>
    <row r="201" spans="1:20" ht="15.75" thickTop="1">
      <c r="A201" s="91"/>
      <c r="B201" s="91"/>
      <c r="C201" s="91"/>
      <c r="D201" s="166" t="s">
        <v>125</v>
      </c>
      <c r="E201" s="167"/>
      <c r="F201" s="176"/>
      <c r="G201" s="171"/>
      <c r="H201" s="171"/>
      <c r="I201" s="176"/>
      <c r="J201" s="91"/>
      <c r="K201" s="37"/>
      <c r="L201" s="37"/>
      <c r="M201" s="91"/>
      <c r="N201" s="91"/>
      <c r="O201" s="91"/>
      <c r="P201" s="91"/>
      <c r="Q201" s="91"/>
      <c r="R201" s="91"/>
      <c r="S201" s="91"/>
      <c r="T201" s="91"/>
    </row>
    <row r="202" spans="1:20" ht="15">
      <c r="A202" s="91"/>
      <c r="B202" s="91"/>
      <c r="C202" s="91"/>
      <c r="D202" s="166"/>
      <c r="E202" s="167"/>
      <c r="F202" s="176"/>
      <c r="G202" s="171"/>
      <c r="H202" s="171"/>
      <c r="I202" s="176"/>
      <c r="J202" s="91"/>
      <c r="K202" s="37"/>
      <c r="L202" s="37"/>
      <c r="M202" s="91"/>
      <c r="N202" s="91"/>
      <c r="O202" s="91"/>
      <c r="P202" s="91"/>
      <c r="Q202" s="91"/>
      <c r="R202" s="91"/>
      <c r="S202" s="91"/>
      <c r="T202" s="91"/>
    </row>
    <row r="203" spans="1:20" ht="15">
      <c r="A203" s="91"/>
      <c r="B203" s="91"/>
      <c r="C203" s="91"/>
      <c r="D203" s="166"/>
      <c r="E203" s="167"/>
      <c r="F203" s="176"/>
      <c r="G203" s="171"/>
      <c r="H203" s="171"/>
      <c r="I203" s="176"/>
      <c r="J203" s="91"/>
      <c r="K203" s="37"/>
      <c r="L203" s="37"/>
      <c r="M203" s="91"/>
      <c r="N203" s="91"/>
      <c r="O203" s="91"/>
      <c r="P203" s="91"/>
      <c r="Q203" s="91"/>
      <c r="R203" s="91"/>
      <c r="S203" s="91"/>
      <c r="T203" s="91"/>
    </row>
    <row r="204" spans="1:20" ht="15">
      <c r="A204" s="91"/>
      <c r="B204" s="91"/>
      <c r="C204" s="91"/>
      <c r="D204" s="166"/>
      <c r="E204" s="167"/>
      <c r="F204" s="37">
        <v>58000</v>
      </c>
      <c r="G204" s="170">
        <v>40694</v>
      </c>
      <c r="H204" s="91">
        <f>+$F$63-G204</f>
        <v>305</v>
      </c>
      <c r="I204" s="91">
        <f>+ROUND(F204*$E$197*H204/366,0)</f>
        <v>2296</v>
      </c>
      <c r="J204" s="91"/>
      <c r="K204" s="37">
        <f>+F204</f>
        <v>58000</v>
      </c>
      <c r="L204" s="37"/>
      <c r="M204" s="91"/>
      <c r="N204" s="91"/>
      <c r="O204" s="91"/>
      <c r="P204" s="91"/>
      <c r="Q204" s="91"/>
      <c r="R204" s="91"/>
      <c r="S204" s="91"/>
      <c r="T204" s="91"/>
    </row>
    <row r="205" spans="1:20" ht="15">
      <c r="A205" s="91"/>
      <c r="B205" s="91"/>
      <c r="C205" s="91"/>
      <c r="D205" s="97" t="s">
        <v>364</v>
      </c>
      <c r="E205" s="167"/>
      <c r="F205" s="37">
        <v>24790</v>
      </c>
      <c r="G205" s="164">
        <v>40748</v>
      </c>
      <c r="H205" s="91">
        <f>+$F$63-G205</f>
        <v>251</v>
      </c>
      <c r="I205" s="91">
        <f>+ROUND(F205*$E$197*H205/366,0)</f>
        <v>808</v>
      </c>
      <c r="J205" s="91"/>
      <c r="K205" s="37">
        <f>+F205</f>
        <v>24790</v>
      </c>
      <c r="L205" s="37">
        <v>0</v>
      </c>
      <c r="M205" s="91"/>
      <c r="N205" s="91"/>
      <c r="O205" s="91"/>
      <c r="P205" s="91"/>
      <c r="Q205" s="91"/>
      <c r="R205" s="91"/>
      <c r="S205" s="91"/>
      <c r="T205" s="91"/>
    </row>
    <row r="206" spans="1:20" ht="15">
      <c r="A206" s="91"/>
      <c r="B206" s="91"/>
      <c r="C206" s="91"/>
      <c r="D206" s="97"/>
      <c r="E206" s="167"/>
      <c r="F206" s="37">
        <v>164944</v>
      </c>
      <c r="G206" s="164">
        <v>40847</v>
      </c>
      <c r="H206" s="91">
        <f>+$F$63-G206</f>
        <v>152</v>
      </c>
      <c r="I206" s="91">
        <f>+ROUND(F206*$E$197*H206/366,0)</f>
        <v>3254</v>
      </c>
      <c r="J206" s="91"/>
      <c r="K206" s="37">
        <v>0</v>
      </c>
      <c r="L206" s="37">
        <f>+F206</f>
        <v>164944</v>
      </c>
      <c r="M206" s="91"/>
      <c r="N206" s="91"/>
      <c r="O206" s="91"/>
      <c r="P206" s="91"/>
      <c r="Q206" s="91"/>
      <c r="R206" s="91"/>
      <c r="S206" s="91"/>
      <c r="T206" s="91"/>
    </row>
    <row r="207" spans="1:20" ht="15">
      <c r="A207" s="91"/>
      <c r="B207" s="91"/>
      <c r="C207" s="91"/>
      <c r="D207" s="97"/>
      <c r="E207" s="167"/>
      <c r="F207" s="37">
        <v>19444</v>
      </c>
      <c r="G207" s="196">
        <v>40939</v>
      </c>
      <c r="H207" s="91">
        <f>+$F$63-G207</f>
        <v>60</v>
      </c>
      <c r="I207" s="91">
        <f>+ROUND(F207*$E$197*H207/366,0)</f>
        <v>151</v>
      </c>
      <c r="J207" s="91"/>
      <c r="K207" s="37"/>
      <c r="L207" s="37">
        <f>+F207</f>
        <v>19444</v>
      </c>
      <c r="M207" s="91"/>
      <c r="N207" s="91"/>
      <c r="O207" s="91"/>
      <c r="P207" s="91"/>
      <c r="Q207" s="91"/>
      <c r="R207" s="91"/>
      <c r="S207" s="91"/>
      <c r="T207" s="91"/>
    </row>
    <row r="208" spans="1:20" ht="15">
      <c r="A208" s="91"/>
      <c r="B208" s="91"/>
      <c r="C208" s="91"/>
      <c r="D208" s="97"/>
      <c r="E208" s="167"/>
      <c r="F208" s="37">
        <v>1200</v>
      </c>
      <c r="G208" s="196">
        <v>40940</v>
      </c>
      <c r="H208" s="91">
        <f>+$F$63-G208</f>
        <v>59</v>
      </c>
      <c r="I208" s="91">
        <f>+ROUND(F208*$E$197*H208/366,0)</f>
        <v>9</v>
      </c>
      <c r="J208" s="91"/>
      <c r="K208" s="37"/>
      <c r="L208" s="37">
        <f>+F208</f>
        <v>1200</v>
      </c>
      <c r="M208" s="91"/>
      <c r="N208" s="91"/>
      <c r="O208" s="91"/>
      <c r="P208" s="91"/>
      <c r="Q208" s="91"/>
      <c r="R208" s="91"/>
      <c r="S208" s="91"/>
      <c r="T208" s="91"/>
    </row>
    <row r="209" spans="1:20" ht="15.75" thickBot="1">
      <c r="A209" s="91"/>
      <c r="B209" s="91"/>
      <c r="C209" s="91"/>
      <c r="D209" s="166"/>
      <c r="E209" s="167"/>
      <c r="F209" s="174">
        <f>SUM(F204:F208)</f>
        <v>268378</v>
      </c>
      <c r="G209" s="170"/>
      <c r="H209" s="171"/>
      <c r="I209" s="174">
        <f>SUM(I204:I208)</f>
        <v>6518</v>
      </c>
      <c r="J209" s="91"/>
      <c r="K209" s="174">
        <f>SUM(K204:K208)</f>
        <v>82790</v>
      </c>
      <c r="L209" s="174">
        <f>SUM(L204:L208)</f>
        <v>185588</v>
      </c>
      <c r="M209" s="91">
        <f>+K209+L209</f>
        <v>268378</v>
      </c>
      <c r="N209" s="91"/>
      <c r="O209" s="91"/>
      <c r="P209" s="91"/>
      <c r="Q209" s="91"/>
      <c r="R209" s="91"/>
      <c r="S209" s="91"/>
      <c r="T209" s="91"/>
    </row>
    <row r="210" spans="1:20" ht="15.75" thickTop="1">
      <c r="A210" s="91"/>
      <c r="B210" s="91"/>
      <c r="C210" s="91"/>
      <c r="D210" s="166"/>
      <c r="E210" s="167"/>
      <c r="F210" s="176"/>
      <c r="G210" s="171"/>
      <c r="H210" s="171"/>
      <c r="I210" s="176"/>
      <c r="J210" s="91"/>
      <c r="K210" s="37"/>
      <c r="L210" s="37"/>
      <c r="M210" s="91"/>
      <c r="N210" s="91"/>
      <c r="O210" s="91"/>
      <c r="P210" s="91"/>
      <c r="Q210" s="91"/>
      <c r="R210" s="91"/>
      <c r="S210" s="91"/>
      <c r="T210" s="91"/>
    </row>
    <row r="211" spans="1:20" ht="15">
      <c r="A211" s="91"/>
      <c r="B211" s="91"/>
      <c r="C211" s="91"/>
      <c r="D211" s="166"/>
      <c r="E211" s="167"/>
      <c r="F211" s="176">
        <f>+F200</f>
        <v>523151</v>
      </c>
      <c r="G211" s="171" t="s">
        <v>91</v>
      </c>
      <c r="H211" s="171"/>
      <c r="I211" s="176">
        <f>+I200</f>
        <v>24917.753794520548</v>
      </c>
      <c r="J211" s="91"/>
      <c r="K211" s="37"/>
      <c r="L211" s="37"/>
      <c r="M211" s="91"/>
      <c r="N211" s="91"/>
      <c r="O211" s="91"/>
      <c r="P211" s="91"/>
      <c r="Q211" s="91"/>
      <c r="R211" s="91"/>
      <c r="S211" s="91"/>
      <c r="T211" s="91"/>
    </row>
    <row r="212" spans="1:20" ht="15">
      <c r="A212" s="91"/>
      <c r="B212" s="91"/>
      <c r="C212" s="91"/>
      <c r="D212" s="91"/>
      <c r="E212" s="91"/>
      <c r="F212" s="184">
        <f>+F209</f>
        <v>268378</v>
      </c>
      <c r="G212" s="91" t="s">
        <v>92</v>
      </c>
      <c r="H212" s="91"/>
      <c r="I212" s="37">
        <f>+I209</f>
        <v>6518</v>
      </c>
      <c r="J212" s="91"/>
      <c r="K212" s="37"/>
      <c r="L212" s="37"/>
      <c r="M212" s="91"/>
      <c r="N212" s="91"/>
      <c r="O212" s="91"/>
      <c r="P212" s="91"/>
      <c r="Q212" s="91"/>
      <c r="R212" s="91"/>
      <c r="S212" s="91"/>
      <c r="T212" s="91"/>
    </row>
    <row r="213" spans="1:20" ht="15.75" thickBot="1">
      <c r="A213" s="91"/>
      <c r="B213" s="91"/>
      <c r="C213" s="91"/>
      <c r="D213" s="91"/>
      <c r="E213" s="91"/>
      <c r="F213" s="174">
        <f>SUM(F211:F212)</f>
        <v>791529</v>
      </c>
      <c r="G213" s="91" t="s">
        <v>285</v>
      </c>
      <c r="H213" s="91"/>
      <c r="I213" s="174">
        <f>SUM(I211:I212)</f>
        <v>31435.753794520548</v>
      </c>
      <c r="J213" s="91"/>
      <c r="K213" s="37"/>
      <c r="L213" s="37"/>
      <c r="M213" s="91"/>
      <c r="N213" s="91"/>
      <c r="O213" s="91"/>
      <c r="P213" s="91"/>
      <c r="Q213" s="91"/>
      <c r="R213" s="91"/>
      <c r="S213" s="91"/>
      <c r="T213" s="91"/>
    </row>
    <row r="214" spans="1:20" ht="15.75" thickTop="1">
      <c r="A214" s="91"/>
      <c r="B214" s="91"/>
      <c r="C214" s="91"/>
      <c r="D214" s="91"/>
      <c r="E214" s="91"/>
      <c r="F214" s="91"/>
      <c r="G214" s="164">
        <v>40269</v>
      </c>
      <c r="H214" s="91"/>
      <c r="I214" s="91"/>
      <c r="J214" s="91"/>
      <c r="K214" s="91"/>
      <c r="L214" s="91"/>
      <c r="M214" s="91"/>
      <c r="N214" s="91"/>
      <c r="O214" s="91"/>
      <c r="P214" s="91"/>
      <c r="Q214" s="91"/>
      <c r="R214" s="91"/>
      <c r="S214" s="91"/>
      <c r="T214" s="91"/>
    </row>
    <row r="215" spans="1:20" ht="15.75" thickBot="1">
      <c r="A215" s="91"/>
      <c r="B215" s="91"/>
      <c r="C215" s="91"/>
      <c r="D215" s="197" t="s">
        <v>126</v>
      </c>
      <c r="E215" s="198">
        <f>+E47</f>
        <v>0.095</v>
      </c>
      <c r="F215" s="91"/>
      <c r="G215" s="91"/>
      <c r="H215" s="91"/>
      <c r="I215" s="91"/>
      <c r="J215" s="91"/>
      <c r="K215" s="91"/>
      <c r="L215" s="91"/>
      <c r="M215" s="91"/>
      <c r="N215" s="91"/>
      <c r="O215" s="91"/>
      <c r="P215" s="91"/>
      <c r="Q215" s="91"/>
      <c r="R215" s="91"/>
      <c r="S215" s="91"/>
      <c r="T215" s="91"/>
    </row>
    <row r="216" spans="1:20" ht="15.75" thickTop="1">
      <c r="A216" s="91"/>
      <c r="B216" s="91"/>
      <c r="C216" s="91"/>
      <c r="D216" s="166" t="s">
        <v>127</v>
      </c>
      <c r="E216" s="199">
        <v>34063</v>
      </c>
      <c r="F216" s="171">
        <v>16875</v>
      </c>
      <c r="G216" s="200">
        <v>40634</v>
      </c>
      <c r="H216" s="171">
        <f aca="true" t="shared" si="24" ref="H216:H231">+$F$63-G216+1</f>
        <v>366</v>
      </c>
      <c r="I216" s="171">
        <v>0</v>
      </c>
      <c r="J216" s="91"/>
      <c r="K216" s="91"/>
      <c r="L216" s="91"/>
      <c r="M216" s="91"/>
      <c r="N216" s="91"/>
      <c r="O216" s="91"/>
      <c r="P216" s="91"/>
      <c r="Q216" s="91"/>
      <c r="R216" s="91"/>
      <c r="S216" s="91"/>
      <c r="T216" s="91"/>
    </row>
    <row r="217" spans="1:20" ht="15">
      <c r="A217" s="91"/>
      <c r="B217" s="91"/>
      <c r="C217" s="91"/>
      <c r="D217" s="166" t="s">
        <v>127</v>
      </c>
      <c r="E217" s="199">
        <v>36434</v>
      </c>
      <c r="F217" s="171">
        <v>28832</v>
      </c>
      <c r="G217" s="200">
        <v>40634</v>
      </c>
      <c r="H217" s="171">
        <f t="shared" si="24"/>
        <v>366</v>
      </c>
      <c r="I217" s="171">
        <v>0</v>
      </c>
      <c r="J217" s="91"/>
      <c r="K217" s="91"/>
      <c r="L217" s="91"/>
      <c r="M217" s="91"/>
      <c r="N217" s="91"/>
      <c r="O217" s="91"/>
      <c r="P217" s="91"/>
      <c r="Q217" s="91"/>
      <c r="R217" s="91"/>
      <c r="S217" s="91"/>
      <c r="T217" s="91"/>
    </row>
    <row r="218" spans="1:20" ht="15">
      <c r="A218" s="91"/>
      <c r="B218" s="91"/>
      <c r="C218" s="91"/>
      <c r="D218" s="166" t="s">
        <v>128</v>
      </c>
      <c r="E218" s="199">
        <v>35993</v>
      </c>
      <c r="F218" s="171">
        <v>241515.25</v>
      </c>
      <c r="G218" s="200">
        <v>40634</v>
      </c>
      <c r="H218" s="171">
        <f t="shared" si="24"/>
        <v>366</v>
      </c>
      <c r="I218" s="171">
        <v>0</v>
      </c>
      <c r="J218" s="91"/>
      <c r="K218" s="91"/>
      <c r="L218" s="91"/>
      <c r="M218" s="91"/>
      <c r="N218" s="91"/>
      <c r="O218" s="91"/>
      <c r="P218" s="91"/>
      <c r="Q218" s="91"/>
      <c r="R218" s="91"/>
      <c r="S218" s="91"/>
      <c r="T218" s="91"/>
    </row>
    <row r="219" spans="1:20" ht="15">
      <c r="A219" s="91"/>
      <c r="B219" s="91"/>
      <c r="C219" s="91"/>
      <c r="D219" s="166" t="s">
        <v>129</v>
      </c>
      <c r="E219" s="199">
        <v>36666</v>
      </c>
      <c r="F219" s="171">
        <v>401188</v>
      </c>
      <c r="G219" s="200">
        <v>40634</v>
      </c>
      <c r="H219" s="171">
        <f t="shared" si="24"/>
        <v>366</v>
      </c>
      <c r="I219" s="171">
        <v>0</v>
      </c>
      <c r="J219" s="91"/>
      <c r="K219" s="91"/>
      <c r="L219" s="91"/>
      <c r="M219" s="91"/>
      <c r="N219" s="91"/>
      <c r="O219" s="91"/>
      <c r="P219" s="91"/>
      <c r="Q219" s="91"/>
      <c r="R219" s="91"/>
      <c r="S219" s="91"/>
      <c r="T219" s="91"/>
    </row>
    <row r="220" spans="1:20" ht="15">
      <c r="A220" s="91"/>
      <c r="B220" s="91"/>
      <c r="C220" s="91"/>
      <c r="D220" s="166" t="s">
        <v>130</v>
      </c>
      <c r="E220" s="199">
        <v>37375</v>
      </c>
      <c r="F220" s="171">
        <v>42800</v>
      </c>
      <c r="G220" s="200">
        <v>40634</v>
      </c>
      <c r="H220" s="171">
        <f t="shared" si="24"/>
        <v>366</v>
      </c>
      <c r="I220" s="171">
        <f>+ROUND(F220*$E$215*H220/366,0)</f>
        <v>4066</v>
      </c>
      <c r="J220" s="91"/>
      <c r="K220" s="91"/>
      <c r="L220" s="91"/>
      <c r="M220" s="91"/>
      <c r="N220" s="91"/>
      <c r="O220" s="91"/>
      <c r="P220" s="91"/>
      <c r="Q220" s="91"/>
      <c r="R220" s="91"/>
      <c r="S220" s="91"/>
      <c r="T220" s="91"/>
    </row>
    <row r="221" spans="1:20" ht="15">
      <c r="A221" s="91"/>
      <c r="B221" s="91"/>
      <c r="C221" s="91"/>
      <c r="D221" s="166" t="s">
        <v>131</v>
      </c>
      <c r="E221" s="199">
        <v>37529</v>
      </c>
      <c r="F221" s="171">
        <v>790085</v>
      </c>
      <c r="G221" s="200">
        <v>40634</v>
      </c>
      <c r="H221" s="171">
        <f t="shared" si="24"/>
        <v>366</v>
      </c>
      <c r="I221" s="171">
        <f>+ROUND(F221*$E$215*H221/366,0)</f>
        <v>75058</v>
      </c>
      <c r="J221" s="91"/>
      <c r="K221" s="91"/>
      <c r="L221" s="91"/>
      <c r="M221" s="91"/>
      <c r="N221" s="91"/>
      <c r="O221" s="91"/>
      <c r="P221" s="91"/>
      <c r="Q221" s="91"/>
      <c r="R221" s="91"/>
      <c r="S221" s="91"/>
      <c r="T221" s="91"/>
    </row>
    <row r="222" spans="1:20" ht="15">
      <c r="A222" s="91"/>
      <c r="B222" s="91"/>
      <c r="C222" s="91"/>
      <c r="D222" s="166" t="s">
        <v>132</v>
      </c>
      <c r="E222" s="170">
        <v>38625</v>
      </c>
      <c r="F222" s="171">
        <v>41971</v>
      </c>
      <c r="G222" s="200">
        <v>40634</v>
      </c>
      <c r="H222" s="171">
        <f t="shared" si="24"/>
        <v>366</v>
      </c>
      <c r="I222" s="171">
        <f>+ROUND(F222*$E$215*H222/366,0)</f>
        <v>3987</v>
      </c>
      <c r="J222" s="91"/>
      <c r="K222" s="91"/>
      <c r="L222" s="91"/>
      <c r="M222" s="91"/>
      <c r="N222" s="91"/>
      <c r="O222" s="91"/>
      <c r="P222" s="91"/>
      <c r="Q222" s="91"/>
      <c r="R222" s="91"/>
      <c r="S222" s="91"/>
      <c r="T222" s="91"/>
    </row>
    <row r="223" spans="1:20" ht="15">
      <c r="A223" s="91"/>
      <c r="B223" s="91"/>
      <c r="C223" s="91"/>
      <c r="D223" s="166" t="s">
        <v>133</v>
      </c>
      <c r="E223" s="199">
        <v>38673</v>
      </c>
      <c r="F223" s="171">
        <v>1636012</v>
      </c>
      <c r="G223" s="200">
        <v>40634</v>
      </c>
      <c r="H223" s="201">
        <v>259</v>
      </c>
      <c r="I223" s="171">
        <f>+ROUND(F223*$E$215*H223/365,0)</f>
        <v>110285</v>
      </c>
      <c r="J223" s="91" t="s">
        <v>134</v>
      </c>
      <c r="K223" s="91" t="s">
        <v>135</v>
      </c>
      <c r="L223" s="91"/>
      <c r="M223" s="91"/>
      <c r="N223" s="91"/>
      <c r="O223" s="91"/>
      <c r="P223" s="91"/>
      <c r="Q223" s="91"/>
      <c r="R223" s="91"/>
      <c r="S223" s="91"/>
      <c r="T223" s="91"/>
    </row>
    <row r="224" spans="1:20" ht="15">
      <c r="A224" s="91"/>
      <c r="B224" s="91"/>
      <c r="C224" s="91"/>
      <c r="D224" s="166" t="s">
        <v>136</v>
      </c>
      <c r="E224" s="199">
        <v>39517</v>
      </c>
      <c r="F224" s="171">
        <v>0</v>
      </c>
      <c r="G224" s="200"/>
      <c r="H224" s="171">
        <v>0</v>
      </c>
      <c r="I224" s="171">
        <f>+ROUND(F224*$E$215*H224/365,0)</f>
        <v>0</v>
      </c>
      <c r="J224" s="91" t="s">
        <v>134</v>
      </c>
      <c r="K224" s="91"/>
      <c r="L224" s="91"/>
      <c r="M224" s="91"/>
      <c r="N224" s="91"/>
      <c r="O224" s="91"/>
      <c r="P224" s="91"/>
      <c r="Q224" s="91"/>
      <c r="R224" s="91"/>
      <c r="S224" s="91"/>
      <c r="T224" s="91"/>
    </row>
    <row r="225" spans="1:20" ht="15">
      <c r="A225" s="91"/>
      <c r="B225" s="91"/>
      <c r="C225" s="91"/>
      <c r="D225" s="166" t="s">
        <v>137</v>
      </c>
      <c r="E225" s="199">
        <v>39568</v>
      </c>
      <c r="F225" s="171">
        <v>0</v>
      </c>
      <c r="G225" s="200"/>
      <c r="H225" s="171">
        <v>0</v>
      </c>
      <c r="I225" s="171">
        <f>+ROUND(F225*$E$215*H225/365,0)</f>
        <v>0</v>
      </c>
      <c r="J225" s="91" t="s">
        <v>134</v>
      </c>
      <c r="K225" s="91"/>
      <c r="L225" s="91"/>
      <c r="M225" s="91"/>
      <c r="N225" s="91"/>
      <c r="O225" s="91"/>
      <c r="P225" s="91"/>
      <c r="Q225" s="91"/>
      <c r="R225" s="91"/>
      <c r="S225" s="91"/>
      <c r="T225" s="91"/>
    </row>
    <row r="226" spans="1:20" ht="15">
      <c r="A226" s="91"/>
      <c r="B226" s="91"/>
      <c r="C226" s="91"/>
      <c r="D226" s="166" t="s">
        <v>138</v>
      </c>
      <c r="E226" s="199">
        <v>39629</v>
      </c>
      <c r="F226" s="171">
        <v>501318</v>
      </c>
      <c r="G226" s="200">
        <v>40634</v>
      </c>
      <c r="H226" s="171">
        <f>+$F$63-G226+1</f>
        <v>366</v>
      </c>
      <c r="I226" s="171">
        <f aca="true" t="shared" si="25" ref="I226:I231">+ROUND(F226*$E$215*H226/366,0)</f>
        <v>47625</v>
      </c>
      <c r="J226" s="91"/>
      <c r="K226" s="91"/>
      <c r="L226" s="91"/>
      <c r="M226" s="91"/>
      <c r="N226" s="91"/>
      <c r="O226" s="91"/>
      <c r="P226" s="91"/>
      <c r="Q226" s="91"/>
      <c r="R226" s="91"/>
      <c r="S226" s="91"/>
      <c r="T226" s="91"/>
    </row>
    <row r="227" spans="1:20" ht="15">
      <c r="A227" s="91"/>
      <c r="B227" s="91"/>
      <c r="C227" s="91"/>
      <c r="D227" s="166" t="s">
        <v>139</v>
      </c>
      <c r="E227" s="199">
        <v>39778</v>
      </c>
      <c r="F227" s="171">
        <v>43861</v>
      </c>
      <c r="G227" s="200">
        <v>40634</v>
      </c>
      <c r="H227" s="171">
        <f>+$F$63-G227+1</f>
        <v>366</v>
      </c>
      <c r="I227" s="171">
        <f t="shared" si="25"/>
        <v>4167</v>
      </c>
      <c r="J227" s="91"/>
      <c r="K227" s="91"/>
      <c r="L227" s="91"/>
      <c r="M227" s="91"/>
      <c r="N227" s="91"/>
      <c r="O227" s="91"/>
      <c r="P227" s="91"/>
      <c r="Q227" s="91"/>
      <c r="R227" s="91"/>
      <c r="S227" s="91"/>
      <c r="T227" s="91"/>
    </row>
    <row r="228" spans="1:20" ht="15">
      <c r="A228" s="91"/>
      <c r="B228" s="91"/>
      <c r="C228" s="91"/>
      <c r="D228" s="166" t="s">
        <v>140</v>
      </c>
      <c r="E228" s="199">
        <v>39786</v>
      </c>
      <c r="F228" s="171">
        <v>51405</v>
      </c>
      <c r="G228" s="200">
        <v>40634</v>
      </c>
      <c r="H228" s="171">
        <f>+$F$63-G228+1</f>
        <v>366</v>
      </c>
      <c r="I228" s="171">
        <f t="shared" si="25"/>
        <v>4883</v>
      </c>
      <c r="J228" s="91"/>
      <c r="K228" s="91"/>
      <c r="L228" s="91"/>
      <c r="M228" s="91"/>
      <c r="N228" s="91"/>
      <c r="O228" s="91"/>
      <c r="P228" s="91"/>
      <c r="Q228" s="91"/>
      <c r="R228" s="91"/>
      <c r="S228" s="91"/>
      <c r="T228" s="91"/>
    </row>
    <row r="229" spans="1:20" ht="15">
      <c r="A229" s="91"/>
      <c r="B229" s="91"/>
      <c r="C229" s="91"/>
      <c r="D229" s="166" t="s">
        <v>141</v>
      </c>
      <c r="E229" s="199">
        <v>39804</v>
      </c>
      <c r="F229" s="171">
        <v>570267</v>
      </c>
      <c r="G229" s="200">
        <v>40634</v>
      </c>
      <c r="H229" s="171">
        <f t="shared" si="24"/>
        <v>366</v>
      </c>
      <c r="I229" s="171">
        <f t="shared" si="25"/>
        <v>54175</v>
      </c>
      <c r="J229" s="91"/>
      <c r="K229" s="91"/>
      <c r="L229" s="91"/>
      <c r="M229" s="91"/>
      <c r="N229" s="91"/>
      <c r="O229" s="91"/>
      <c r="P229" s="91"/>
      <c r="Q229" s="91"/>
      <c r="R229" s="91"/>
      <c r="S229" s="91"/>
      <c r="T229" s="91"/>
    </row>
    <row r="230" spans="1:20" ht="15">
      <c r="A230" s="91"/>
      <c r="B230" s="91"/>
      <c r="C230" s="91"/>
      <c r="D230" s="166" t="s">
        <v>233</v>
      </c>
      <c r="E230" s="199">
        <v>39812</v>
      </c>
      <c r="F230" s="171">
        <v>883576</v>
      </c>
      <c r="G230" s="200">
        <v>40634</v>
      </c>
      <c r="H230" s="171">
        <v>348</v>
      </c>
      <c r="I230" s="171">
        <f>+ROUND(F230*$E$215*H230/366,0)</f>
        <v>79812</v>
      </c>
      <c r="J230" s="91" t="s">
        <v>134</v>
      </c>
      <c r="K230" s="91" t="s">
        <v>234</v>
      </c>
      <c r="L230" s="91"/>
      <c r="M230" s="91"/>
      <c r="N230" s="91"/>
      <c r="O230" s="91"/>
      <c r="P230" s="91"/>
      <c r="Q230" s="91"/>
      <c r="R230" s="91"/>
      <c r="S230" s="91"/>
      <c r="T230" s="91"/>
    </row>
    <row r="231" spans="1:20" ht="15">
      <c r="A231" s="91"/>
      <c r="B231" s="91"/>
      <c r="C231" s="91"/>
      <c r="D231" s="202" t="s">
        <v>235</v>
      </c>
      <c r="E231" s="203">
        <v>40574</v>
      </c>
      <c r="F231" s="202">
        <v>576609</v>
      </c>
      <c r="G231" s="200">
        <v>40634</v>
      </c>
      <c r="H231" s="171">
        <f t="shared" si="24"/>
        <v>366</v>
      </c>
      <c r="I231" s="171">
        <f t="shared" si="25"/>
        <v>54778</v>
      </c>
      <c r="J231" s="91"/>
      <c r="K231" s="91"/>
      <c r="L231" s="91"/>
      <c r="M231" s="91"/>
      <c r="N231" s="91"/>
      <c r="O231" s="91"/>
      <c r="P231" s="91"/>
      <c r="Q231" s="91"/>
      <c r="R231" s="91"/>
      <c r="S231" s="91"/>
      <c r="T231" s="91"/>
    </row>
    <row r="232" spans="1:20" ht="15">
      <c r="A232" s="91"/>
      <c r="B232" s="91"/>
      <c r="C232" s="91"/>
      <c r="D232" s="202" t="s">
        <v>236</v>
      </c>
      <c r="E232" s="203" t="s">
        <v>237</v>
      </c>
      <c r="F232" s="202">
        <f>305087+11830</f>
        <v>316917</v>
      </c>
      <c r="G232" s="200">
        <v>40634</v>
      </c>
      <c r="H232" s="201">
        <v>350</v>
      </c>
      <c r="I232" s="171">
        <f>+ROUND(F232*$E$215*H232/365,0)</f>
        <v>28870</v>
      </c>
      <c r="J232" s="91" t="s">
        <v>134</v>
      </c>
      <c r="K232" s="91" t="s">
        <v>238</v>
      </c>
      <c r="L232" s="91"/>
      <c r="M232" s="91"/>
      <c r="N232" s="91"/>
      <c r="O232" s="91"/>
      <c r="P232" s="91"/>
      <c r="Q232" s="91"/>
      <c r="R232" s="91"/>
      <c r="S232" s="91"/>
      <c r="T232" s="91"/>
    </row>
    <row r="233" spans="1:20" ht="15.75" thickBot="1">
      <c r="A233" s="91"/>
      <c r="B233" s="91"/>
      <c r="C233" s="91"/>
      <c r="D233" s="91"/>
      <c r="E233" s="204"/>
      <c r="F233" s="205">
        <f>SUM(F216:F232)</f>
        <v>6143231.25</v>
      </c>
      <c r="G233" s="178"/>
      <c r="H233" s="178"/>
      <c r="I233" s="205">
        <f>SUM(I216:I232)</f>
        <v>467706</v>
      </c>
      <c r="J233" s="91"/>
      <c r="K233" s="91"/>
      <c r="L233" s="91"/>
      <c r="M233" s="91"/>
      <c r="N233" s="91"/>
      <c r="O233" s="91"/>
      <c r="P233" s="91"/>
      <c r="Q233" s="91"/>
      <c r="R233" s="91"/>
      <c r="S233" s="91"/>
      <c r="T233" s="91"/>
    </row>
    <row r="234" spans="1:20" ht="15.75" thickTop="1">
      <c r="A234" s="91"/>
      <c r="B234" s="91"/>
      <c r="C234" s="91"/>
      <c r="D234" s="97" t="s">
        <v>239</v>
      </c>
      <c r="E234" s="204"/>
      <c r="F234" s="192"/>
      <c r="G234" s="178"/>
      <c r="H234" s="178"/>
      <c r="I234" s="192"/>
      <c r="J234" s="91"/>
      <c r="K234" s="91"/>
      <c r="L234" s="91"/>
      <c r="M234" s="91"/>
      <c r="N234" s="91"/>
      <c r="O234" s="91"/>
      <c r="P234" s="91"/>
      <c r="Q234" s="91"/>
      <c r="R234" s="91"/>
      <c r="S234" s="91"/>
      <c r="T234" s="91"/>
    </row>
    <row r="235" spans="1:20" ht="15">
      <c r="A235" s="91"/>
      <c r="B235" s="91"/>
      <c r="C235" s="91"/>
      <c r="D235" s="91" t="s">
        <v>240</v>
      </c>
      <c r="E235" s="164">
        <v>40877</v>
      </c>
      <c r="F235" s="91">
        <v>765920</v>
      </c>
      <c r="G235" s="200">
        <f>+F63</f>
        <v>40999</v>
      </c>
      <c r="H235" s="201">
        <f>+$F$63-G235+1</f>
        <v>1</v>
      </c>
      <c r="I235" s="171">
        <f>+ROUND(F235*$E$215*H235/366,0)</f>
        <v>199</v>
      </c>
      <c r="J235" s="91"/>
      <c r="K235" s="91"/>
      <c r="L235" s="91">
        <f>+F235</f>
        <v>765920</v>
      </c>
      <c r="M235" s="91"/>
      <c r="N235" s="91"/>
      <c r="O235" s="91"/>
      <c r="P235" s="91"/>
      <c r="Q235" s="91"/>
      <c r="R235" s="91"/>
      <c r="S235" s="91"/>
      <c r="T235" s="91"/>
    </row>
    <row r="236" spans="1:20" ht="15">
      <c r="A236" s="91"/>
      <c r="B236" s="91"/>
      <c r="C236" s="91"/>
      <c r="D236" s="91" t="s">
        <v>140</v>
      </c>
      <c r="E236" s="164">
        <v>40999</v>
      </c>
      <c r="F236" s="91">
        <v>29355</v>
      </c>
      <c r="G236" s="200">
        <v>40999</v>
      </c>
      <c r="H236" s="201">
        <v>0</v>
      </c>
      <c r="I236" s="171">
        <f>+ROUND(F236*$E$215*H236/365,0)</f>
        <v>0</v>
      </c>
      <c r="J236" s="91"/>
      <c r="K236" s="91"/>
      <c r="L236" s="91">
        <f>+F236</f>
        <v>29355</v>
      </c>
      <c r="M236" s="91"/>
      <c r="N236" s="91"/>
      <c r="O236" s="91"/>
      <c r="P236" s="91"/>
      <c r="Q236" s="91"/>
      <c r="R236" s="91"/>
      <c r="S236" s="91"/>
      <c r="T236" s="91"/>
    </row>
    <row r="237" spans="1:20" ht="15">
      <c r="A237" s="91"/>
      <c r="B237" s="91"/>
      <c r="C237" s="91"/>
      <c r="D237" s="91" t="s">
        <v>241</v>
      </c>
      <c r="E237" s="204">
        <v>40999</v>
      </c>
      <c r="F237" s="91">
        <v>22355</v>
      </c>
      <c r="G237" s="200">
        <v>40999</v>
      </c>
      <c r="H237" s="201">
        <v>0</v>
      </c>
      <c r="I237" s="171">
        <f>+ROUND(F237*$E$215*H237/365,0)</f>
        <v>0</v>
      </c>
      <c r="J237" s="91"/>
      <c r="K237" s="91"/>
      <c r="L237" s="91">
        <f>+F237</f>
        <v>22355</v>
      </c>
      <c r="M237" s="91"/>
      <c r="N237" s="91"/>
      <c r="O237" s="91"/>
      <c r="P237" s="91"/>
      <c r="Q237" s="91"/>
      <c r="R237" s="91"/>
      <c r="S237" s="91"/>
      <c r="T237" s="91"/>
    </row>
    <row r="238" spans="1:20" ht="15.75" thickBot="1">
      <c r="A238" s="91"/>
      <c r="B238" s="91"/>
      <c r="C238" s="91"/>
      <c r="D238" s="91"/>
      <c r="E238" s="91"/>
      <c r="F238" s="177">
        <f>SUM(F235:F237)</f>
        <v>817630</v>
      </c>
      <c r="G238" s="97"/>
      <c r="H238" s="97"/>
      <c r="I238" s="174">
        <f>SUM(I235:I237)</f>
        <v>199</v>
      </c>
      <c r="J238" s="91"/>
      <c r="K238" s="174">
        <f>SUM(K235:K237)</f>
        <v>0</v>
      </c>
      <c r="L238" s="174">
        <f>SUM(L235:L237)</f>
        <v>817630</v>
      </c>
      <c r="M238" s="91">
        <f>+K238+L238</f>
        <v>817630</v>
      </c>
      <c r="N238" s="91"/>
      <c r="O238" s="91"/>
      <c r="P238" s="91"/>
      <c r="Q238" s="91"/>
      <c r="R238" s="91"/>
      <c r="S238" s="91"/>
      <c r="T238" s="91"/>
    </row>
    <row r="239" spans="1:20" ht="15.75" thickTop="1">
      <c r="A239" s="91"/>
      <c r="B239" s="91"/>
      <c r="C239" s="91"/>
      <c r="D239" s="91"/>
      <c r="E239" s="91"/>
      <c r="F239" s="184"/>
      <c r="G239" s="97"/>
      <c r="H239" s="97"/>
      <c r="I239" s="37"/>
      <c r="J239" s="91"/>
      <c r="K239" s="37"/>
      <c r="L239" s="37"/>
      <c r="M239" s="91"/>
      <c r="N239" s="91"/>
      <c r="O239" s="91"/>
      <c r="P239" s="91"/>
      <c r="Q239" s="91"/>
      <c r="R239" s="91"/>
      <c r="S239" s="91"/>
      <c r="T239" s="91"/>
    </row>
    <row r="240" spans="1:20" ht="15">
      <c r="A240" s="91"/>
      <c r="B240" s="91"/>
      <c r="C240" s="91"/>
      <c r="D240" s="91"/>
      <c r="E240" s="91"/>
      <c r="F240" s="184">
        <f>+F233</f>
        <v>6143231.25</v>
      </c>
      <c r="G240" s="171" t="s">
        <v>91</v>
      </c>
      <c r="H240" s="171"/>
      <c r="I240" s="176">
        <f>+I233</f>
        <v>467706</v>
      </c>
      <c r="J240" s="91"/>
      <c r="K240" s="37"/>
      <c r="L240" s="37"/>
      <c r="M240" s="91"/>
      <c r="N240" s="91"/>
      <c r="O240" s="91"/>
      <c r="P240" s="91"/>
      <c r="Q240" s="91"/>
      <c r="R240" s="91"/>
      <c r="S240" s="91"/>
      <c r="T240" s="91"/>
    </row>
    <row r="241" spans="1:20" ht="15">
      <c r="A241" s="91"/>
      <c r="B241" s="91"/>
      <c r="C241" s="91"/>
      <c r="D241" s="91"/>
      <c r="E241" s="91"/>
      <c r="F241" s="184">
        <f>+F238</f>
        <v>817630</v>
      </c>
      <c r="G241" s="91" t="s">
        <v>92</v>
      </c>
      <c r="H241" s="91"/>
      <c r="I241" s="37">
        <f>+I238</f>
        <v>199</v>
      </c>
      <c r="J241" s="91"/>
      <c r="K241" s="37"/>
      <c r="L241" s="37"/>
      <c r="M241" s="91"/>
      <c r="N241" s="91"/>
      <c r="O241" s="91"/>
      <c r="P241" s="91"/>
      <c r="Q241" s="91"/>
      <c r="R241" s="91"/>
      <c r="S241" s="91"/>
      <c r="T241" s="91"/>
    </row>
    <row r="242" spans="1:20" ht="15.75" thickBot="1">
      <c r="A242" s="91"/>
      <c r="B242" s="91"/>
      <c r="C242" s="91"/>
      <c r="D242" s="91"/>
      <c r="E242" s="91"/>
      <c r="F242" s="177">
        <f>SUM(F240:F241)</f>
        <v>6960861.25</v>
      </c>
      <c r="G242" s="91" t="s">
        <v>285</v>
      </c>
      <c r="H242" s="91"/>
      <c r="I242" s="174">
        <f>SUM(I240:I241)</f>
        <v>467905</v>
      </c>
      <c r="J242" s="91"/>
      <c r="K242" s="37"/>
      <c r="L242" s="37"/>
      <c r="M242" s="91"/>
      <c r="N242" s="91"/>
      <c r="O242" s="91"/>
      <c r="P242" s="91"/>
      <c r="Q242" s="91"/>
      <c r="R242" s="91"/>
      <c r="S242" s="91"/>
      <c r="T242" s="91"/>
    </row>
    <row r="243" spans="1:20" ht="15.75" thickTop="1">
      <c r="A243" s="91"/>
      <c r="B243" s="91"/>
      <c r="C243" s="91"/>
      <c r="D243" s="91"/>
      <c r="E243" s="91"/>
      <c r="F243" s="184"/>
      <c r="G243" s="97"/>
      <c r="H243" s="97"/>
      <c r="I243" s="37"/>
      <c r="J243" s="91"/>
      <c r="K243" s="37"/>
      <c r="L243" s="37"/>
      <c r="M243" s="91"/>
      <c r="N243" s="91"/>
      <c r="O243" s="91"/>
      <c r="P243" s="91"/>
      <c r="Q243" s="91"/>
      <c r="R243" s="91"/>
      <c r="S243" s="91"/>
      <c r="T243" s="91"/>
    </row>
    <row r="244" spans="1:20" ht="15">
      <c r="A244" s="91"/>
      <c r="B244" s="91"/>
      <c r="C244" s="91"/>
      <c r="D244" s="91"/>
      <c r="E244" s="91"/>
      <c r="F244" s="184"/>
      <c r="G244" s="206">
        <v>40269</v>
      </c>
      <c r="H244" s="97"/>
      <c r="I244" s="37"/>
      <c r="J244" s="91"/>
      <c r="K244" s="91"/>
      <c r="L244" s="91"/>
      <c r="M244" s="91"/>
      <c r="N244" s="91"/>
      <c r="O244" s="91"/>
      <c r="P244" s="91"/>
      <c r="Q244" s="91"/>
      <c r="R244" s="91"/>
      <c r="S244" s="91"/>
      <c r="T244" s="91"/>
    </row>
    <row r="245" spans="1:20" ht="15.75" thickBot="1">
      <c r="A245" s="91"/>
      <c r="B245" s="91"/>
      <c r="C245" s="91"/>
      <c r="D245" s="197" t="s">
        <v>242</v>
      </c>
      <c r="E245" s="198">
        <v>0.1131</v>
      </c>
      <c r="F245" s="91"/>
      <c r="G245" s="91"/>
      <c r="H245" s="91"/>
      <c r="I245" s="91"/>
      <c r="J245" s="91"/>
      <c r="K245" s="91"/>
      <c r="L245" s="91"/>
      <c r="M245" s="91"/>
      <c r="N245" s="91"/>
      <c r="O245" s="91"/>
      <c r="P245" s="91"/>
      <c r="Q245" s="91"/>
      <c r="R245" s="91"/>
      <c r="S245" s="91"/>
      <c r="T245" s="91"/>
    </row>
    <row r="246" spans="1:20" ht="15.75" thickTop="1">
      <c r="A246" s="91"/>
      <c r="B246" s="91"/>
      <c r="C246" s="91"/>
      <c r="D246" s="166" t="s">
        <v>243</v>
      </c>
      <c r="E246" s="199">
        <v>38198</v>
      </c>
      <c r="F246" s="171">
        <v>0</v>
      </c>
      <c r="G246" s="200">
        <v>40438</v>
      </c>
      <c r="H246" s="171">
        <f>+G246-G244+1</f>
        <v>170</v>
      </c>
      <c r="I246" s="171">
        <f>+F246*$E$245*H246/365</f>
        <v>0</v>
      </c>
      <c r="J246" s="91" t="s">
        <v>134</v>
      </c>
      <c r="K246" s="91"/>
      <c r="L246" s="91"/>
      <c r="M246" s="91"/>
      <c r="N246" s="91"/>
      <c r="O246" s="91"/>
      <c r="P246" s="91"/>
      <c r="Q246" s="91"/>
      <c r="R246" s="91"/>
      <c r="S246" s="91"/>
      <c r="T246" s="91"/>
    </row>
    <row r="247" spans="1:20" ht="15">
      <c r="A247" s="91"/>
      <c r="B247" s="91"/>
      <c r="C247" s="91"/>
      <c r="D247" s="166" t="s">
        <v>243</v>
      </c>
      <c r="E247" s="199">
        <v>39897</v>
      </c>
      <c r="F247" s="171">
        <v>795000</v>
      </c>
      <c r="G247" s="200">
        <v>40634</v>
      </c>
      <c r="H247" s="171">
        <f>+$F$63-G247+1</f>
        <v>366</v>
      </c>
      <c r="I247" s="171">
        <f>+F247*$E$245*H247/366</f>
        <v>89914.5</v>
      </c>
      <c r="J247" s="91"/>
      <c r="K247" s="91"/>
      <c r="L247" s="91"/>
      <c r="M247" s="91"/>
      <c r="N247" s="91"/>
      <c r="O247" s="91"/>
      <c r="P247" s="91"/>
      <c r="Q247" s="91"/>
      <c r="R247" s="91"/>
      <c r="S247" s="91"/>
      <c r="T247" s="91"/>
    </row>
    <row r="248" spans="1:20" ht="15">
      <c r="A248" s="91"/>
      <c r="B248" s="91"/>
      <c r="C248" s="91"/>
      <c r="D248" s="166"/>
      <c r="E248" s="199"/>
      <c r="F248" s="171"/>
      <c r="G248" s="200"/>
      <c r="H248" s="171"/>
      <c r="I248" s="171"/>
      <c r="J248" s="91"/>
      <c r="K248" s="91"/>
      <c r="L248" s="91"/>
      <c r="M248" s="91"/>
      <c r="N248" s="91"/>
      <c r="O248" s="91"/>
      <c r="P248" s="91"/>
      <c r="Q248" s="91"/>
      <c r="R248" s="91"/>
      <c r="S248" s="91"/>
      <c r="T248" s="91"/>
    </row>
    <row r="249" spans="1:20" ht="15.75" thickBot="1">
      <c r="A249" s="91"/>
      <c r="B249" s="91"/>
      <c r="C249" s="91"/>
      <c r="D249" s="166"/>
      <c r="E249" s="199"/>
      <c r="F249" s="181">
        <f>SUM(F246:F248)</f>
        <v>795000</v>
      </c>
      <c r="G249" s="200"/>
      <c r="H249" s="171"/>
      <c r="I249" s="181">
        <f>SUM(I246:I248)</f>
        <v>89914.5</v>
      </c>
      <c r="J249" s="91"/>
      <c r="K249" s="91"/>
      <c r="L249" s="91"/>
      <c r="M249" s="91"/>
      <c r="N249" s="91"/>
      <c r="O249" s="91"/>
      <c r="P249" s="91"/>
      <c r="Q249" s="91"/>
      <c r="R249" s="91"/>
      <c r="S249" s="91"/>
      <c r="T249" s="91"/>
    </row>
    <row r="250" spans="1:20" ht="15.75" thickTop="1">
      <c r="A250" s="91"/>
      <c r="B250" s="91"/>
      <c r="C250" s="91"/>
      <c r="D250" s="166"/>
      <c r="E250" s="199"/>
      <c r="F250" s="176"/>
      <c r="G250" s="200"/>
      <c r="H250" s="171"/>
      <c r="I250" s="176"/>
      <c r="J250" s="91"/>
      <c r="K250" s="91"/>
      <c r="L250" s="91"/>
      <c r="M250" s="91"/>
      <c r="N250" s="91"/>
      <c r="O250" s="91"/>
      <c r="P250" s="91"/>
      <c r="Q250" s="91"/>
      <c r="R250" s="91"/>
      <c r="S250" s="91"/>
      <c r="T250" s="91"/>
    </row>
    <row r="251" spans="1:20" ht="15">
      <c r="A251" s="91"/>
      <c r="B251" s="91"/>
      <c r="C251" s="91"/>
      <c r="D251" s="166"/>
      <c r="E251" s="199"/>
      <c r="F251" s="176">
        <f>+F249</f>
        <v>795000</v>
      </c>
      <c r="G251" s="171" t="s">
        <v>91</v>
      </c>
      <c r="H251" s="171"/>
      <c r="I251" s="176">
        <f>+I249</f>
        <v>89914.5</v>
      </c>
      <c r="J251" s="91"/>
      <c r="K251" s="91"/>
      <c r="L251" s="91"/>
      <c r="M251" s="91"/>
      <c r="N251" s="91"/>
      <c r="O251" s="91"/>
      <c r="P251" s="91"/>
      <c r="Q251" s="91"/>
      <c r="R251" s="91"/>
      <c r="S251" s="91"/>
      <c r="T251" s="91"/>
    </row>
    <row r="252" spans="1:20" ht="15">
      <c r="A252" s="91"/>
      <c r="B252" s="91"/>
      <c r="C252" s="91"/>
      <c r="D252" s="166"/>
      <c r="E252" s="199"/>
      <c r="F252" s="37">
        <v>0</v>
      </c>
      <c r="G252" s="91" t="s">
        <v>92</v>
      </c>
      <c r="H252" s="91"/>
      <c r="I252" s="37">
        <v>0</v>
      </c>
      <c r="J252" s="91"/>
      <c r="K252" s="91"/>
      <c r="L252" s="91"/>
      <c r="M252" s="91"/>
      <c r="N252" s="91"/>
      <c r="O252" s="91"/>
      <c r="P252" s="91"/>
      <c r="Q252" s="91"/>
      <c r="R252" s="91"/>
      <c r="S252" s="91"/>
      <c r="T252" s="91"/>
    </row>
    <row r="253" spans="1:20" ht="15.75" thickBot="1">
      <c r="A253" s="91"/>
      <c r="B253" s="91"/>
      <c r="C253" s="91"/>
      <c r="D253" s="166"/>
      <c r="E253" s="199"/>
      <c r="F253" s="174">
        <f>SUM(F251:F252)</f>
        <v>795000</v>
      </c>
      <c r="G253" s="91" t="s">
        <v>285</v>
      </c>
      <c r="H253" s="91"/>
      <c r="I253" s="174">
        <f>SUM(I251:I252)</f>
        <v>89914.5</v>
      </c>
      <c r="J253" s="91"/>
      <c r="K253" s="91"/>
      <c r="L253" s="91"/>
      <c r="M253" s="91"/>
      <c r="N253" s="91"/>
      <c r="O253" s="91"/>
      <c r="P253" s="91"/>
      <c r="Q253" s="91"/>
      <c r="R253" s="91"/>
      <c r="S253" s="91"/>
      <c r="T253" s="91"/>
    </row>
    <row r="254" spans="1:20" ht="15.75" thickTop="1">
      <c r="A254" s="91"/>
      <c r="B254" s="91"/>
      <c r="C254" s="91"/>
      <c r="D254" s="166"/>
      <c r="E254" s="199"/>
      <c r="F254" s="176"/>
      <c r="G254" s="97"/>
      <c r="H254" s="97"/>
      <c r="I254" s="37"/>
      <c r="J254" s="91"/>
      <c r="K254" s="91"/>
      <c r="L254" s="91"/>
      <c r="M254" s="91"/>
      <c r="N254" s="91"/>
      <c r="O254" s="91"/>
      <c r="P254" s="91"/>
      <c r="Q254" s="91"/>
      <c r="R254" s="91"/>
      <c r="S254" s="91"/>
      <c r="T254" s="91"/>
    </row>
    <row r="255" spans="1:20" ht="15">
      <c r="A255" s="91"/>
      <c r="B255" s="91"/>
      <c r="C255" s="91"/>
      <c r="D255" s="166"/>
      <c r="E255" s="199"/>
      <c r="F255" s="176"/>
      <c r="G255" s="200"/>
      <c r="H255" s="171"/>
      <c r="I255" s="176"/>
      <c r="J255" s="91"/>
      <c r="K255" s="91"/>
      <c r="L255" s="91"/>
      <c r="M255" s="91"/>
      <c r="N255" s="91"/>
      <c r="O255" s="91"/>
      <c r="P255" s="91"/>
      <c r="Q255" s="91"/>
      <c r="R255" s="91"/>
      <c r="S255" s="91"/>
      <c r="T255" s="91"/>
    </row>
    <row r="256" spans="1:20" ht="15.75" thickBot="1">
      <c r="A256" s="91"/>
      <c r="B256" s="91"/>
      <c r="C256" s="91"/>
      <c r="D256" s="181" t="s">
        <v>244</v>
      </c>
      <c r="E256" s="207">
        <v>0.0707</v>
      </c>
      <c r="F256" s="184"/>
      <c r="G256" s="97"/>
      <c r="H256" s="97"/>
      <c r="I256" s="37"/>
      <c r="J256" s="91"/>
      <c r="K256" s="91"/>
      <c r="L256" s="91"/>
      <c r="M256" s="91"/>
      <c r="N256" s="91"/>
      <c r="O256" s="91"/>
      <c r="P256" s="91"/>
      <c r="Q256" s="91"/>
      <c r="R256" s="91"/>
      <c r="S256" s="91"/>
      <c r="T256" s="91"/>
    </row>
    <row r="257" spans="1:20" ht="15.75" thickTop="1">
      <c r="A257" s="91"/>
      <c r="B257" s="91"/>
      <c r="C257" s="91"/>
      <c r="D257" s="171" t="s">
        <v>318</v>
      </c>
      <c r="E257" s="91"/>
      <c r="F257" s="184"/>
      <c r="G257" s="97"/>
      <c r="H257" s="97"/>
      <c r="I257" s="37"/>
      <c r="J257" s="91"/>
      <c r="K257" s="91"/>
      <c r="L257" s="91"/>
      <c r="M257" s="91"/>
      <c r="N257" s="91"/>
      <c r="O257" s="91"/>
      <c r="P257" s="91"/>
      <c r="Q257" s="91"/>
      <c r="R257" s="91"/>
      <c r="S257" s="91"/>
      <c r="T257" s="91"/>
    </row>
    <row r="258" spans="1:20" ht="15">
      <c r="A258" s="91"/>
      <c r="B258" s="91"/>
      <c r="C258" s="91"/>
      <c r="D258" s="91"/>
      <c r="E258" s="91"/>
      <c r="F258" s="192">
        <v>5055</v>
      </c>
      <c r="G258" s="200">
        <v>40634</v>
      </c>
      <c r="H258" s="171">
        <f>+$F$63-G258+1</f>
        <v>366</v>
      </c>
      <c r="I258" s="37">
        <v>0</v>
      </c>
      <c r="J258" s="91"/>
      <c r="K258" s="91"/>
      <c r="L258" s="91"/>
      <c r="M258" s="91"/>
      <c r="N258" s="91"/>
      <c r="O258" s="91"/>
      <c r="P258" s="91"/>
      <c r="Q258" s="91"/>
      <c r="R258" s="91"/>
      <c r="S258" s="91"/>
      <c r="T258" s="91"/>
    </row>
    <row r="259" spans="1:20" ht="15">
      <c r="A259" s="91"/>
      <c r="B259" s="91"/>
      <c r="C259" s="91"/>
      <c r="D259" s="91"/>
      <c r="E259" s="170">
        <v>34895</v>
      </c>
      <c r="F259" s="192">
        <v>1420</v>
      </c>
      <c r="G259" s="200">
        <v>40634</v>
      </c>
      <c r="H259" s="171">
        <f>+$F$63-G259+1</f>
        <v>366</v>
      </c>
      <c r="I259" s="37">
        <v>0</v>
      </c>
      <c r="J259" s="91"/>
      <c r="K259" s="91"/>
      <c r="L259" s="91"/>
      <c r="M259" s="91"/>
      <c r="N259" s="91"/>
      <c r="O259" s="91"/>
      <c r="P259" s="91"/>
      <c r="Q259" s="91"/>
      <c r="R259" s="91"/>
      <c r="S259" s="91"/>
      <c r="T259" s="91"/>
    </row>
    <row r="260" spans="1:20" ht="15">
      <c r="A260" s="91"/>
      <c r="B260" s="91"/>
      <c r="C260" s="91"/>
      <c r="D260" s="91"/>
      <c r="E260" s="170">
        <v>36684</v>
      </c>
      <c r="F260" s="192">
        <v>3800</v>
      </c>
      <c r="G260" s="200">
        <v>40634</v>
      </c>
      <c r="H260" s="171">
        <f>+$F$63-G260+1</f>
        <v>366</v>
      </c>
      <c r="I260" s="208">
        <f>+F260*$E$256*H260/366</f>
        <v>268.65999999999997</v>
      </c>
      <c r="J260" s="91"/>
      <c r="K260" s="91"/>
      <c r="L260" s="91"/>
      <c r="M260" s="91"/>
      <c r="N260" s="91"/>
      <c r="O260" s="91"/>
      <c r="P260" s="91"/>
      <c r="Q260" s="91"/>
      <c r="R260" s="91"/>
      <c r="S260" s="91"/>
      <c r="T260" s="91"/>
    </row>
    <row r="261" spans="1:20" ht="15">
      <c r="A261" s="91"/>
      <c r="B261" s="91"/>
      <c r="C261" s="91"/>
      <c r="D261" s="91"/>
      <c r="E261" s="170">
        <v>37351</v>
      </c>
      <c r="F261" s="192">
        <v>1780</v>
      </c>
      <c r="G261" s="200">
        <v>40634</v>
      </c>
      <c r="H261" s="171">
        <f>+$F$63-G261+1</f>
        <v>366</v>
      </c>
      <c r="I261" s="208">
        <f>+F261*$E$256*H261/366</f>
        <v>125.84599999999999</v>
      </c>
      <c r="J261" s="91"/>
      <c r="K261" s="91"/>
      <c r="L261" s="91"/>
      <c r="M261" s="91"/>
      <c r="N261" s="91"/>
      <c r="O261" s="91"/>
      <c r="P261" s="91"/>
      <c r="Q261" s="91"/>
      <c r="R261" s="91"/>
      <c r="S261" s="91"/>
      <c r="T261" s="91"/>
    </row>
    <row r="262" spans="1:20" ht="15.75" thickBot="1">
      <c r="A262" s="91"/>
      <c r="B262" s="91"/>
      <c r="C262" s="91"/>
      <c r="D262" s="91"/>
      <c r="E262" s="170"/>
      <c r="F262" s="205">
        <f>SUM(F258:F261)</f>
        <v>12055</v>
      </c>
      <c r="G262" s="200"/>
      <c r="H262" s="171"/>
      <c r="I262" s="209">
        <f>SUM(I258:I261)</f>
        <v>394.506</v>
      </c>
      <c r="J262" s="91"/>
      <c r="K262" s="91"/>
      <c r="L262" s="91"/>
      <c r="M262" s="91"/>
      <c r="N262" s="91"/>
      <c r="O262" s="91"/>
      <c r="P262" s="91"/>
      <c r="Q262" s="91"/>
      <c r="R262" s="91"/>
      <c r="S262" s="91"/>
      <c r="T262" s="91"/>
    </row>
    <row r="263" spans="1:20" ht="15.75" thickTop="1">
      <c r="A263" s="91"/>
      <c r="B263" s="91"/>
      <c r="C263" s="91"/>
      <c r="D263" s="91"/>
      <c r="E263" s="91"/>
      <c r="F263" s="97"/>
      <c r="G263" s="97"/>
      <c r="H263" s="97"/>
      <c r="I263" s="37"/>
      <c r="J263" s="91"/>
      <c r="K263" s="91"/>
      <c r="L263" s="91"/>
      <c r="M263" s="91"/>
      <c r="N263" s="91"/>
      <c r="O263" s="91"/>
      <c r="P263" s="91"/>
      <c r="Q263" s="91"/>
      <c r="R263" s="91"/>
      <c r="S263" s="91"/>
      <c r="T263" s="91"/>
    </row>
    <row r="264" spans="1:20" ht="15">
      <c r="A264" s="91"/>
      <c r="B264" s="91"/>
      <c r="C264" s="91"/>
      <c r="D264" s="91"/>
      <c r="E264" s="91"/>
      <c r="F264" s="166">
        <f>+F262</f>
        <v>12055</v>
      </c>
      <c r="G264" s="171" t="s">
        <v>91</v>
      </c>
      <c r="H264" s="171"/>
      <c r="I264" s="210">
        <f>+I262</f>
        <v>394.506</v>
      </c>
      <c r="J264" s="91"/>
      <c r="K264" s="91"/>
      <c r="L264" s="91"/>
      <c r="M264" s="91"/>
      <c r="N264" s="91"/>
      <c r="O264" s="91"/>
      <c r="P264" s="91"/>
      <c r="Q264" s="91"/>
      <c r="R264" s="91"/>
      <c r="S264" s="91"/>
      <c r="T264" s="91"/>
    </row>
    <row r="265" spans="1:20" ht="15">
      <c r="A265" s="91"/>
      <c r="B265" s="91"/>
      <c r="C265" s="91"/>
      <c r="D265" s="91"/>
      <c r="E265" s="91"/>
      <c r="F265" s="97">
        <v>0</v>
      </c>
      <c r="G265" s="91" t="s">
        <v>92</v>
      </c>
      <c r="H265" s="91"/>
      <c r="I265" s="211">
        <v>0</v>
      </c>
      <c r="J265" s="91"/>
      <c r="K265" s="91"/>
      <c r="L265" s="91"/>
      <c r="M265" s="91"/>
      <c r="N265" s="91"/>
      <c r="O265" s="91"/>
      <c r="P265" s="91"/>
      <c r="Q265" s="91"/>
      <c r="R265" s="91"/>
      <c r="S265" s="91"/>
      <c r="T265" s="91"/>
    </row>
    <row r="266" spans="1:20" ht="15.75" thickBot="1">
      <c r="A266" s="91"/>
      <c r="B266" s="91"/>
      <c r="C266" s="91"/>
      <c r="D266" s="166"/>
      <c r="E266" s="199"/>
      <c r="F266" s="174">
        <f>SUM(F264:F265)</f>
        <v>12055</v>
      </c>
      <c r="G266" s="91" t="s">
        <v>285</v>
      </c>
      <c r="H266" s="91"/>
      <c r="I266" s="212">
        <f>SUM(I264:I265)</f>
        <v>394.506</v>
      </c>
      <c r="J266" s="91"/>
      <c r="K266" s="91"/>
      <c r="L266" s="91"/>
      <c r="M266" s="91"/>
      <c r="N266" s="91"/>
      <c r="O266" s="91"/>
      <c r="P266" s="91"/>
      <c r="Q266" s="91"/>
      <c r="R266" s="91"/>
      <c r="S266" s="91"/>
      <c r="T266" s="91"/>
    </row>
    <row r="267" spans="1:20" ht="15.75" thickTop="1">
      <c r="A267" s="91"/>
      <c r="B267" s="91"/>
      <c r="C267" s="91"/>
      <c r="D267" s="166" t="s">
        <v>520</v>
      </c>
      <c r="E267" s="204"/>
      <c r="F267" s="192">
        <f>+F262+F233+F249</f>
        <v>6950286.25</v>
      </c>
      <c r="G267" s="178"/>
      <c r="H267" s="178"/>
      <c r="I267" s="192"/>
      <c r="J267" s="91"/>
      <c r="K267" s="91"/>
      <c r="L267" s="91"/>
      <c r="M267" s="91"/>
      <c r="N267" s="91"/>
      <c r="O267" s="91"/>
      <c r="P267" s="91"/>
      <c r="Q267" s="91"/>
      <c r="R267" s="91"/>
      <c r="S267" s="91"/>
      <c r="T267" s="91"/>
    </row>
    <row r="268" spans="1:20" ht="15">
      <c r="A268" s="91"/>
      <c r="B268" s="91"/>
      <c r="C268" s="91"/>
      <c r="D268" s="91"/>
      <c r="E268" s="167"/>
      <c r="F268" s="91"/>
      <c r="G268" s="91"/>
      <c r="H268" s="91"/>
      <c r="I268" s="91"/>
      <c r="J268" s="91"/>
      <c r="K268" s="91"/>
      <c r="L268" s="91"/>
      <c r="M268" s="91"/>
      <c r="N268" s="91"/>
      <c r="O268" s="91"/>
      <c r="P268" s="91"/>
      <c r="Q268" s="91"/>
      <c r="R268" s="91"/>
      <c r="S268" s="91"/>
      <c r="T268" s="91"/>
    </row>
    <row r="269" spans="1:20" ht="15">
      <c r="A269" s="91"/>
      <c r="B269" s="91"/>
      <c r="C269" s="91"/>
      <c r="D269" s="91"/>
      <c r="E269" s="91"/>
      <c r="F269" s="91"/>
      <c r="G269" s="91"/>
      <c r="H269" s="91"/>
      <c r="I269" s="91"/>
      <c r="J269" s="91"/>
      <c r="K269" s="91"/>
      <c r="L269" s="91"/>
      <c r="M269" s="91"/>
      <c r="N269" s="91"/>
      <c r="O269" s="91"/>
      <c r="P269" s="91"/>
      <c r="Q269" s="91"/>
      <c r="R269" s="91"/>
      <c r="S269" s="91"/>
      <c r="T269" s="91"/>
    </row>
    <row r="270" spans="1:20" ht="15.75" thickBot="1">
      <c r="A270" s="91"/>
      <c r="B270" s="91"/>
      <c r="C270" s="91"/>
      <c r="D270" s="197" t="s">
        <v>245</v>
      </c>
      <c r="E270" s="213">
        <f>+E50</f>
        <v>0.1621</v>
      </c>
      <c r="F270" s="91"/>
      <c r="G270" s="91"/>
      <c r="H270" s="91"/>
      <c r="I270" s="91"/>
      <c r="J270" s="91"/>
      <c r="K270" s="91"/>
      <c r="L270" s="91"/>
      <c r="M270" s="91"/>
      <c r="N270" s="91"/>
      <c r="O270" s="91"/>
      <c r="P270" s="91"/>
      <c r="Q270" s="91"/>
      <c r="R270" s="91"/>
      <c r="S270" s="91"/>
      <c r="T270" s="91"/>
    </row>
    <row r="271" spans="1:20" ht="15.75" thickTop="1">
      <c r="A271" s="91"/>
      <c r="B271" s="91"/>
      <c r="C271" s="91"/>
      <c r="D271" s="166"/>
      <c r="E271" s="167"/>
      <c r="F271" s="91"/>
      <c r="G271" s="91"/>
      <c r="H271" s="91"/>
      <c r="I271" s="91"/>
      <c r="J271" s="91"/>
      <c r="K271" s="91"/>
      <c r="L271" s="91"/>
      <c r="M271" s="91"/>
      <c r="N271" s="91"/>
      <c r="O271" s="91"/>
      <c r="P271" s="91"/>
      <c r="Q271" s="91"/>
      <c r="R271" s="91"/>
      <c r="S271" s="91"/>
      <c r="T271" s="91"/>
    </row>
    <row r="272" spans="1:20" ht="15">
      <c r="A272" s="91"/>
      <c r="B272" s="91"/>
      <c r="C272" s="91"/>
      <c r="D272" s="166" t="s">
        <v>318</v>
      </c>
      <c r="E272" s="180"/>
      <c r="F272" s="171">
        <v>599597</v>
      </c>
      <c r="G272" s="200">
        <v>40634</v>
      </c>
      <c r="H272" s="171">
        <f aca="true" t="shared" si="26" ref="H272:H283">+$F$63-G272+1</f>
        <v>366</v>
      </c>
      <c r="I272" s="171">
        <v>0</v>
      </c>
      <c r="J272" s="91"/>
      <c r="K272" s="91"/>
      <c r="L272" s="91"/>
      <c r="M272" s="91"/>
      <c r="N272" s="91"/>
      <c r="O272" s="91"/>
      <c r="P272" s="91"/>
      <c r="Q272" s="91"/>
      <c r="R272" s="91"/>
      <c r="S272" s="91"/>
      <c r="T272" s="91"/>
    </row>
    <row r="273" spans="1:20" ht="15">
      <c r="A273" s="91"/>
      <c r="B273" s="91"/>
      <c r="C273" s="91"/>
      <c r="D273" s="166"/>
      <c r="E273" s="180" t="s">
        <v>246</v>
      </c>
      <c r="F273" s="171">
        <v>36800</v>
      </c>
      <c r="G273" s="200">
        <v>40634</v>
      </c>
      <c r="H273" s="171">
        <f t="shared" si="26"/>
        <v>366</v>
      </c>
      <c r="I273" s="171">
        <v>0</v>
      </c>
      <c r="J273" s="91"/>
      <c r="K273" s="91"/>
      <c r="L273" s="91"/>
      <c r="M273" s="91"/>
      <c r="N273" s="91"/>
      <c r="O273" s="91"/>
      <c r="P273" s="91"/>
      <c r="Q273" s="91"/>
      <c r="R273" s="91"/>
      <c r="S273" s="91"/>
      <c r="T273" s="91"/>
    </row>
    <row r="274" spans="1:20" ht="15">
      <c r="A274" s="91"/>
      <c r="B274" s="91"/>
      <c r="C274" s="91"/>
      <c r="D274" s="166"/>
      <c r="E274" s="180" t="s">
        <v>247</v>
      </c>
      <c r="F274" s="171">
        <v>64050</v>
      </c>
      <c r="G274" s="200">
        <v>40634</v>
      </c>
      <c r="H274" s="171">
        <f t="shared" si="26"/>
        <v>366</v>
      </c>
      <c r="I274" s="171">
        <v>0</v>
      </c>
      <c r="J274" s="91"/>
      <c r="K274" s="91"/>
      <c r="L274" s="91"/>
      <c r="M274" s="91"/>
      <c r="N274" s="91"/>
      <c r="O274" s="91"/>
      <c r="P274" s="91"/>
      <c r="Q274" s="91"/>
      <c r="R274" s="91"/>
      <c r="S274" s="91"/>
      <c r="T274" s="91"/>
    </row>
    <row r="275" spans="1:20" ht="15">
      <c r="A275" s="91"/>
      <c r="B275" s="91"/>
      <c r="C275" s="91"/>
      <c r="D275" s="166"/>
      <c r="E275" s="180" t="s">
        <v>248</v>
      </c>
      <c r="F275" s="171">
        <v>21800</v>
      </c>
      <c r="G275" s="200">
        <v>40634</v>
      </c>
      <c r="H275" s="171">
        <f t="shared" si="26"/>
        <v>366</v>
      </c>
      <c r="I275" s="171">
        <f>+F275*$E$270*H275/366</f>
        <v>3533.7799999999997</v>
      </c>
      <c r="J275" s="91"/>
      <c r="K275" s="91"/>
      <c r="L275" s="91"/>
      <c r="M275" s="91"/>
      <c r="N275" s="91"/>
      <c r="O275" s="91"/>
      <c r="P275" s="91"/>
      <c r="Q275" s="91"/>
      <c r="R275" s="91"/>
      <c r="S275" s="91"/>
      <c r="T275" s="91"/>
    </row>
    <row r="276" spans="1:20" ht="15">
      <c r="A276" s="91"/>
      <c r="B276" s="91"/>
      <c r="C276" s="91"/>
      <c r="D276" s="166"/>
      <c r="E276" s="180" t="s">
        <v>249</v>
      </c>
      <c r="F276" s="171">
        <v>63700</v>
      </c>
      <c r="G276" s="200">
        <v>40634</v>
      </c>
      <c r="H276" s="171">
        <f t="shared" si="26"/>
        <v>366</v>
      </c>
      <c r="I276" s="171">
        <f aca="true" t="shared" si="27" ref="I276:I283">+F276*$E$270*H276/366</f>
        <v>10325.77</v>
      </c>
      <c r="J276" s="91"/>
      <c r="K276" s="91"/>
      <c r="L276" s="91"/>
      <c r="M276" s="91"/>
      <c r="N276" s="91"/>
      <c r="O276" s="91"/>
      <c r="P276" s="91"/>
      <c r="Q276" s="91"/>
      <c r="R276" s="91"/>
      <c r="S276" s="91"/>
      <c r="T276" s="91"/>
    </row>
    <row r="277" spans="1:20" ht="15">
      <c r="A277" s="91"/>
      <c r="B277" s="91"/>
      <c r="C277" s="91"/>
      <c r="D277" s="166"/>
      <c r="E277" s="180" t="s">
        <v>186</v>
      </c>
      <c r="F277" s="171">
        <v>17108</v>
      </c>
      <c r="G277" s="200">
        <v>40634</v>
      </c>
      <c r="H277" s="171">
        <f t="shared" si="26"/>
        <v>366</v>
      </c>
      <c r="I277" s="171">
        <f t="shared" si="27"/>
        <v>2773.2068</v>
      </c>
      <c r="J277" s="91"/>
      <c r="K277" s="91"/>
      <c r="L277" s="91"/>
      <c r="M277" s="91"/>
      <c r="N277" s="91"/>
      <c r="O277" s="91"/>
      <c r="P277" s="91"/>
      <c r="Q277" s="91"/>
      <c r="R277" s="91"/>
      <c r="S277" s="91"/>
      <c r="T277" s="91"/>
    </row>
    <row r="278" spans="1:20" ht="15">
      <c r="A278" s="91"/>
      <c r="B278" s="91"/>
      <c r="C278" s="91"/>
      <c r="D278" s="166"/>
      <c r="E278" s="171" t="s">
        <v>185</v>
      </c>
      <c r="F278" s="171">
        <v>83632</v>
      </c>
      <c r="G278" s="200">
        <v>40634</v>
      </c>
      <c r="H278" s="171">
        <f t="shared" si="26"/>
        <v>366</v>
      </c>
      <c r="I278" s="171">
        <f t="shared" si="27"/>
        <v>13556.7472</v>
      </c>
      <c r="J278" s="91"/>
      <c r="K278" s="91"/>
      <c r="L278" s="91"/>
      <c r="M278" s="91"/>
      <c r="N278" s="91"/>
      <c r="O278" s="91"/>
      <c r="P278" s="91"/>
      <c r="Q278" s="91"/>
      <c r="R278" s="91"/>
      <c r="S278" s="91"/>
      <c r="T278" s="91"/>
    </row>
    <row r="279" spans="1:20" ht="15">
      <c r="A279" s="91"/>
      <c r="B279" s="91"/>
      <c r="C279" s="91"/>
      <c r="D279" s="91"/>
      <c r="E279" s="214">
        <v>40030</v>
      </c>
      <c r="F279" s="171">
        <v>9400</v>
      </c>
      <c r="G279" s="200">
        <v>40634</v>
      </c>
      <c r="H279" s="171">
        <f t="shared" si="26"/>
        <v>366</v>
      </c>
      <c r="I279" s="171">
        <f t="shared" si="27"/>
        <v>1523.74</v>
      </c>
      <c r="J279" s="91"/>
      <c r="K279" s="91"/>
      <c r="L279" s="91"/>
      <c r="M279" s="91"/>
      <c r="N279" s="91"/>
      <c r="O279" s="91"/>
      <c r="P279" s="91"/>
      <c r="Q279" s="91"/>
      <c r="R279" s="91"/>
      <c r="S279" s="91"/>
      <c r="T279" s="91"/>
    </row>
    <row r="280" spans="1:20" ht="15">
      <c r="A280" s="91"/>
      <c r="B280" s="91"/>
      <c r="C280" s="91"/>
      <c r="D280" s="91"/>
      <c r="E280" s="214">
        <v>40057</v>
      </c>
      <c r="F280" s="171">
        <v>49640</v>
      </c>
      <c r="G280" s="200">
        <v>40634</v>
      </c>
      <c r="H280" s="171">
        <f t="shared" si="26"/>
        <v>366</v>
      </c>
      <c r="I280" s="171">
        <f t="shared" si="27"/>
        <v>8046.643999999999</v>
      </c>
      <c r="J280" s="91"/>
      <c r="K280" s="91"/>
      <c r="L280" s="91"/>
      <c r="M280" s="91"/>
      <c r="N280" s="91"/>
      <c r="O280" s="91"/>
      <c r="P280" s="91"/>
      <c r="Q280" s="91"/>
      <c r="R280" s="91"/>
      <c r="S280" s="91"/>
      <c r="T280" s="91"/>
    </row>
    <row r="281" spans="1:20" ht="15">
      <c r="A281" s="91"/>
      <c r="B281" s="91"/>
      <c r="C281" s="91"/>
      <c r="D281" s="91"/>
      <c r="E281" s="214">
        <v>40116</v>
      </c>
      <c r="F281" s="171">
        <v>29357</v>
      </c>
      <c r="G281" s="200">
        <v>40634</v>
      </c>
      <c r="H281" s="171">
        <f t="shared" si="26"/>
        <v>366</v>
      </c>
      <c r="I281" s="171">
        <f t="shared" si="27"/>
        <v>4758.7697</v>
      </c>
      <c r="J281" s="91"/>
      <c r="K281" s="91"/>
      <c r="L281" s="91"/>
      <c r="M281" s="91"/>
      <c r="N281" s="91"/>
      <c r="O281" s="91"/>
      <c r="P281" s="91"/>
      <c r="Q281" s="91"/>
      <c r="R281" s="91"/>
      <c r="S281" s="91"/>
      <c r="T281" s="91"/>
    </row>
    <row r="282" spans="1:20" ht="15">
      <c r="A282" s="91"/>
      <c r="B282" s="91"/>
      <c r="C282" s="91"/>
      <c r="D282" s="91"/>
      <c r="E282" s="214">
        <v>40173</v>
      </c>
      <c r="F282" s="171">
        <v>44865</v>
      </c>
      <c r="G282" s="200">
        <v>40634</v>
      </c>
      <c r="H282" s="171">
        <f t="shared" si="26"/>
        <v>366</v>
      </c>
      <c r="I282" s="171">
        <f t="shared" si="27"/>
        <v>7272.6165</v>
      </c>
      <c r="J282" s="91"/>
      <c r="K282" s="91"/>
      <c r="L282" s="91"/>
      <c r="M282" s="91"/>
      <c r="N282" s="91"/>
      <c r="O282" s="91"/>
      <c r="P282" s="91"/>
      <c r="Q282" s="91"/>
      <c r="R282" s="91"/>
      <c r="S282" s="91"/>
      <c r="T282" s="91"/>
    </row>
    <row r="283" spans="1:20" ht="15">
      <c r="A283" s="91"/>
      <c r="B283" s="91"/>
      <c r="C283" s="91"/>
      <c r="D283" s="91"/>
      <c r="E283" s="164">
        <v>40410</v>
      </c>
      <c r="F283" s="171">
        <v>19500</v>
      </c>
      <c r="G283" s="200">
        <v>40634</v>
      </c>
      <c r="H283" s="171">
        <f t="shared" si="26"/>
        <v>366</v>
      </c>
      <c r="I283" s="171">
        <f t="shared" si="27"/>
        <v>3160.95</v>
      </c>
      <c r="J283" s="91"/>
      <c r="K283" s="91"/>
      <c r="L283" s="91"/>
      <c r="M283" s="91"/>
      <c r="N283" s="91"/>
      <c r="O283" s="91"/>
      <c r="P283" s="91"/>
      <c r="Q283" s="91"/>
      <c r="R283" s="91"/>
      <c r="S283" s="91"/>
      <c r="T283" s="91"/>
    </row>
    <row r="284" spans="1:20" ht="15">
      <c r="A284" s="91"/>
      <c r="B284" s="91"/>
      <c r="C284" s="91"/>
      <c r="D284" s="91"/>
      <c r="E284" s="214"/>
      <c r="F284" s="171">
        <v>0</v>
      </c>
      <c r="G284" s="200"/>
      <c r="H284" s="171"/>
      <c r="I284" s="171"/>
      <c r="J284" s="91"/>
      <c r="K284" s="91"/>
      <c r="L284" s="91"/>
      <c r="M284" s="91"/>
      <c r="N284" s="91"/>
      <c r="O284" s="91"/>
      <c r="P284" s="91"/>
      <c r="Q284" s="91"/>
      <c r="R284" s="91"/>
      <c r="S284" s="91"/>
      <c r="T284" s="91"/>
    </row>
    <row r="285" spans="1:20" ht="15.75" thickBot="1">
      <c r="A285" s="91"/>
      <c r="B285" s="91"/>
      <c r="C285" s="91"/>
      <c r="D285" s="91"/>
      <c r="E285" s="180"/>
      <c r="F285" s="181">
        <f>SUM(F272:F283)</f>
        <v>1039449</v>
      </c>
      <c r="G285" s="91"/>
      <c r="H285" s="91"/>
      <c r="I285" s="160">
        <f>SUM(I272:I282)</f>
        <v>51791.2742</v>
      </c>
      <c r="J285" s="91"/>
      <c r="K285" s="91"/>
      <c r="L285" s="91"/>
      <c r="M285" s="91"/>
      <c r="N285" s="91"/>
      <c r="O285" s="91"/>
      <c r="P285" s="91"/>
      <c r="Q285" s="91"/>
      <c r="R285" s="91"/>
      <c r="S285" s="91"/>
      <c r="T285" s="91"/>
    </row>
    <row r="286" spans="1:20" ht="15.75" thickTop="1">
      <c r="A286" s="91"/>
      <c r="B286" s="91"/>
      <c r="C286" s="91"/>
      <c r="D286" s="91"/>
      <c r="E286" s="167"/>
      <c r="F286" s="91"/>
      <c r="G286" s="91"/>
      <c r="H286" s="91"/>
      <c r="I286" s="91"/>
      <c r="J286" s="91"/>
      <c r="K286" s="91"/>
      <c r="L286" s="91"/>
      <c r="M286" s="91"/>
      <c r="N286" s="91"/>
      <c r="O286" s="91"/>
      <c r="P286" s="91"/>
      <c r="Q286" s="91"/>
      <c r="R286" s="91"/>
      <c r="S286" s="91"/>
      <c r="T286" s="91"/>
    </row>
    <row r="287" spans="1:20" ht="15">
      <c r="A287" s="91"/>
      <c r="B287" s="91"/>
      <c r="C287" s="91"/>
      <c r="D287" s="91" t="s">
        <v>80</v>
      </c>
      <c r="E287" s="167"/>
      <c r="F287" s="91">
        <v>33560</v>
      </c>
      <c r="G287" s="164">
        <v>40694</v>
      </c>
      <c r="H287" s="171">
        <f>+$F$63-G287+1</f>
        <v>306</v>
      </c>
      <c r="I287" s="91">
        <f>+ROUND(F287*$E$270*H287/366,0)</f>
        <v>4548</v>
      </c>
      <c r="J287" s="91"/>
      <c r="K287" s="91">
        <f>+F287</f>
        <v>33560</v>
      </c>
      <c r="L287" s="91"/>
      <c r="M287" s="91"/>
      <c r="N287" s="91"/>
      <c r="O287" s="91"/>
      <c r="P287" s="91"/>
      <c r="Q287" s="91"/>
      <c r="R287" s="91"/>
      <c r="S287" s="91"/>
      <c r="T287" s="91"/>
    </row>
    <row r="288" spans="1:20" ht="15">
      <c r="A288" s="91"/>
      <c r="B288" s="91"/>
      <c r="C288" s="91"/>
      <c r="D288" s="91" t="s">
        <v>81</v>
      </c>
      <c r="E288" s="167"/>
      <c r="F288" s="91">
        <v>54480</v>
      </c>
      <c r="G288" s="164">
        <v>40724</v>
      </c>
      <c r="H288" s="171">
        <f>+$F$63-G288+1</f>
        <v>276</v>
      </c>
      <c r="I288" s="91">
        <f>+ROUND(F288*$E$270*H288/366,0)</f>
        <v>6660</v>
      </c>
      <c r="J288" s="91"/>
      <c r="K288" s="91">
        <f>+F288</f>
        <v>54480</v>
      </c>
      <c r="L288" s="91">
        <v>0</v>
      </c>
      <c r="M288" s="91"/>
      <c r="N288" s="91"/>
      <c r="O288" s="91"/>
      <c r="P288" s="91"/>
      <c r="Q288" s="91"/>
      <c r="R288" s="91"/>
      <c r="S288" s="91"/>
      <c r="T288" s="91"/>
    </row>
    <row r="289" spans="1:20" ht="15">
      <c r="A289" s="91"/>
      <c r="B289" s="91"/>
      <c r="C289" s="91"/>
      <c r="D289" s="91" t="s">
        <v>84</v>
      </c>
      <c r="E289" s="167"/>
      <c r="F289" s="91">
        <v>45400</v>
      </c>
      <c r="G289" s="164">
        <v>40816</v>
      </c>
      <c r="H289" s="171">
        <f>+$F$63-G289+1</f>
        <v>184</v>
      </c>
      <c r="I289" s="91">
        <f>+ROUND(F289*$E$270*H289/366,0)</f>
        <v>3700</v>
      </c>
      <c r="J289" s="91"/>
      <c r="K289" s="91">
        <f>+F289</f>
        <v>45400</v>
      </c>
      <c r="L289" s="91"/>
      <c r="M289" s="91"/>
      <c r="N289" s="91"/>
      <c r="O289" s="91"/>
      <c r="P289" s="91"/>
      <c r="Q289" s="91"/>
      <c r="R289" s="91"/>
      <c r="S289" s="91"/>
      <c r="T289" s="91"/>
    </row>
    <row r="290" spans="1:20" ht="15">
      <c r="A290" s="91"/>
      <c r="B290" s="91"/>
      <c r="C290" s="91"/>
      <c r="D290" s="91" t="s">
        <v>250</v>
      </c>
      <c r="E290" s="167"/>
      <c r="F290" s="91">
        <v>38480</v>
      </c>
      <c r="G290" s="164">
        <v>40847</v>
      </c>
      <c r="H290" s="171">
        <f>+$F$63-G290+1</f>
        <v>153</v>
      </c>
      <c r="I290" s="91">
        <f>+ROUND(F290*$E$270*H290/366,0)</f>
        <v>2608</v>
      </c>
      <c r="J290" s="91"/>
      <c r="K290" s="91"/>
      <c r="L290" s="91">
        <f>+F290</f>
        <v>38480</v>
      </c>
      <c r="M290" s="91"/>
      <c r="N290" s="91"/>
      <c r="O290" s="91"/>
      <c r="P290" s="91"/>
      <c r="Q290" s="91"/>
      <c r="R290" s="91"/>
      <c r="S290" s="91"/>
      <c r="T290" s="91"/>
    </row>
    <row r="291" spans="1:20" ht="15">
      <c r="A291" s="91"/>
      <c r="B291" s="91"/>
      <c r="C291" s="91"/>
      <c r="D291" s="91" t="s">
        <v>86</v>
      </c>
      <c r="E291" s="167"/>
      <c r="F291" s="91"/>
      <c r="G291" s="164"/>
      <c r="H291" s="171"/>
      <c r="I291" s="91"/>
      <c r="J291" s="91"/>
      <c r="K291" s="91"/>
      <c r="L291" s="91"/>
      <c r="M291" s="91"/>
      <c r="N291" s="91"/>
      <c r="O291" s="91"/>
      <c r="P291" s="91"/>
      <c r="Q291" s="91"/>
      <c r="R291" s="91"/>
      <c r="S291" s="91"/>
      <c r="T291" s="91"/>
    </row>
    <row r="292" spans="1:20" ht="15">
      <c r="A292" s="91"/>
      <c r="B292" s="91"/>
      <c r="C292" s="91"/>
      <c r="D292" s="91" t="s">
        <v>87</v>
      </c>
      <c r="E292" s="167"/>
      <c r="F292" s="91">
        <v>42486</v>
      </c>
      <c r="G292" s="164">
        <v>40908</v>
      </c>
      <c r="H292" s="201">
        <f>+$F$63-G292</f>
        <v>91</v>
      </c>
      <c r="I292" s="91">
        <f>+ROUND(F292*$E$270*H292/366,0)</f>
        <v>1712</v>
      </c>
      <c r="J292" s="91"/>
      <c r="K292" s="91"/>
      <c r="L292" s="91">
        <f>+F292</f>
        <v>42486</v>
      </c>
      <c r="M292" s="91"/>
      <c r="N292" s="91"/>
      <c r="O292" s="91"/>
      <c r="P292" s="91"/>
      <c r="Q292" s="91"/>
      <c r="R292" s="91"/>
      <c r="S292" s="91"/>
      <c r="T292" s="91"/>
    </row>
    <row r="293" spans="1:20" ht="15">
      <c r="A293" s="91"/>
      <c r="B293" s="91"/>
      <c r="C293" s="91"/>
      <c r="D293" s="91" t="s">
        <v>88</v>
      </c>
      <c r="E293" s="167"/>
      <c r="F293" s="91"/>
      <c r="G293" s="164"/>
      <c r="H293" s="171"/>
      <c r="I293" s="91"/>
      <c r="J293" s="91"/>
      <c r="K293" s="91"/>
      <c r="L293" s="91"/>
      <c r="M293" s="91"/>
      <c r="N293" s="91"/>
      <c r="O293" s="91"/>
      <c r="P293" s="91"/>
      <c r="Q293" s="91"/>
      <c r="R293" s="91"/>
      <c r="S293" s="91"/>
      <c r="T293" s="91"/>
    </row>
    <row r="294" spans="1:20" ht="15">
      <c r="A294" s="91"/>
      <c r="B294" s="91"/>
      <c r="C294" s="91"/>
      <c r="D294" s="91" t="s">
        <v>89</v>
      </c>
      <c r="E294" s="167"/>
      <c r="F294" s="91"/>
      <c r="G294" s="164"/>
      <c r="H294" s="171"/>
      <c r="I294" s="91"/>
      <c r="J294" s="91"/>
      <c r="K294" s="91"/>
      <c r="L294" s="91"/>
      <c r="M294" s="91"/>
      <c r="N294" s="91"/>
      <c r="O294" s="91"/>
      <c r="P294" s="91"/>
      <c r="Q294" s="91"/>
      <c r="R294" s="91"/>
      <c r="S294" s="91"/>
      <c r="T294" s="91"/>
    </row>
    <row r="295" spans="1:20" ht="15">
      <c r="A295" s="91"/>
      <c r="B295" s="91"/>
      <c r="C295" s="91"/>
      <c r="D295" s="91" t="s">
        <v>104</v>
      </c>
      <c r="E295" s="167"/>
      <c r="F295" s="91"/>
      <c r="G295" s="164"/>
      <c r="H295" s="171"/>
      <c r="I295" s="91"/>
      <c r="J295" s="91"/>
      <c r="K295" s="91"/>
      <c r="L295" s="91"/>
      <c r="M295" s="91"/>
      <c r="N295" s="91"/>
      <c r="O295" s="91"/>
      <c r="P295" s="91"/>
      <c r="Q295" s="91"/>
      <c r="R295" s="91"/>
      <c r="S295" s="91"/>
      <c r="T295" s="91"/>
    </row>
    <row r="296" spans="1:20" ht="15.75" thickBot="1">
      <c r="A296" s="91"/>
      <c r="B296" s="91"/>
      <c r="C296" s="91"/>
      <c r="D296" s="91" t="s">
        <v>285</v>
      </c>
      <c r="E296" s="91"/>
      <c r="F296" s="177">
        <f>SUM(F287:F295)</f>
        <v>214406</v>
      </c>
      <c r="G296" s="91"/>
      <c r="H296" s="97"/>
      <c r="I296" s="177">
        <f>SUM(I287:I295)</f>
        <v>19228</v>
      </c>
      <c r="J296" s="91"/>
      <c r="K296" s="177">
        <f>SUM(K287:K295)</f>
        <v>133440</v>
      </c>
      <c r="L296" s="177">
        <f>SUM(L287:L295)</f>
        <v>80966</v>
      </c>
      <c r="M296" s="91"/>
      <c r="N296" s="91"/>
      <c r="O296" s="91"/>
      <c r="P296" s="91"/>
      <c r="Q296" s="91"/>
      <c r="R296" s="91"/>
      <c r="S296" s="91"/>
      <c r="T296" s="91"/>
    </row>
    <row r="297" spans="1:20" ht="15.75" thickTop="1">
      <c r="A297" s="91"/>
      <c r="B297" s="91"/>
      <c r="C297" s="91"/>
      <c r="D297" s="91"/>
      <c r="E297" s="91"/>
      <c r="F297" s="184"/>
      <c r="G297" s="91"/>
      <c r="H297" s="97"/>
      <c r="I297" s="184"/>
      <c r="J297" s="91"/>
      <c r="K297" s="37"/>
      <c r="L297" s="37"/>
      <c r="M297" s="91"/>
      <c r="N297" s="91"/>
      <c r="O297" s="91"/>
      <c r="P297" s="91"/>
      <c r="Q297" s="91"/>
      <c r="R297" s="91"/>
      <c r="S297" s="91"/>
      <c r="T297" s="91"/>
    </row>
    <row r="298" spans="1:20" ht="15">
      <c r="A298" s="91"/>
      <c r="B298" s="91"/>
      <c r="C298" s="91"/>
      <c r="D298" s="91"/>
      <c r="E298" s="91"/>
      <c r="F298" s="184">
        <f>+F285</f>
        <v>1039449</v>
      </c>
      <c r="G298" s="171" t="s">
        <v>91</v>
      </c>
      <c r="H298" s="171"/>
      <c r="I298" s="176">
        <f>+I285</f>
        <v>51791.2742</v>
      </c>
      <c r="J298" s="91"/>
      <c r="K298" s="37"/>
      <c r="L298" s="37"/>
      <c r="M298" s="91"/>
      <c r="N298" s="91"/>
      <c r="O298" s="91"/>
      <c r="P298" s="91"/>
      <c r="Q298" s="91"/>
      <c r="R298" s="91"/>
      <c r="S298" s="91"/>
      <c r="T298" s="91"/>
    </row>
    <row r="299" spans="1:20" ht="15">
      <c r="A299" s="91"/>
      <c r="B299" s="91"/>
      <c r="C299" s="91"/>
      <c r="D299" s="91"/>
      <c r="E299" s="91"/>
      <c r="F299" s="184">
        <f>+F296</f>
        <v>214406</v>
      </c>
      <c r="G299" s="91" t="s">
        <v>92</v>
      </c>
      <c r="H299" s="91"/>
      <c r="I299" s="37">
        <f>+I296</f>
        <v>19228</v>
      </c>
      <c r="J299" s="91"/>
      <c r="K299" s="37"/>
      <c r="L299" s="37"/>
      <c r="M299" s="91"/>
      <c r="N299" s="91"/>
      <c r="O299" s="91"/>
      <c r="P299" s="91"/>
      <c r="Q299" s="91"/>
      <c r="R299" s="91"/>
      <c r="S299" s="91"/>
      <c r="T299" s="91"/>
    </row>
    <row r="300" spans="1:20" ht="15.75" thickBot="1">
      <c r="A300" s="91"/>
      <c r="B300" s="91"/>
      <c r="C300" s="91"/>
      <c r="D300" s="91"/>
      <c r="E300" s="91"/>
      <c r="F300" s="174">
        <f>SUM(F298:F299)</f>
        <v>1253855</v>
      </c>
      <c r="G300" s="91" t="s">
        <v>285</v>
      </c>
      <c r="H300" s="91"/>
      <c r="I300" s="174">
        <f>SUM(I298:I299)</f>
        <v>71019.2742</v>
      </c>
      <c r="J300" s="91"/>
      <c r="K300" s="91"/>
      <c r="L300" s="91"/>
      <c r="M300" s="91"/>
      <c r="N300" s="91"/>
      <c r="O300" s="91"/>
      <c r="P300" s="91"/>
      <c r="Q300" s="91"/>
      <c r="R300" s="91"/>
      <c r="S300" s="91"/>
      <c r="T300" s="91"/>
    </row>
    <row r="301" spans="1:20" ht="15.75" thickTop="1">
      <c r="A301" s="91"/>
      <c r="B301" s="91"/>
      <c r="C301" s="91"/>
      <c r="D301" s="91"/>
      <c r="E301" s="91"/>
      <c r="F301" s="91"/>
      <c r="G301" s="91"/>
      <c r="H301" s="91"/>
      <c r="I301" s="37"/>
      <c r="J301" s="91"/>
      <c r="K301" s="91"/>
      <c r="L301" s="91"/>
      <c r="M301" s="91"/>
      <c r="N301" s="91"/>
      <c r="O301" s="91"/>
      <c r="P301" s="91"/>
      <c r="Q301" s="91"/>
      <c r="R301" s="91"/>
      <c r="S301" s="91"/>
      <c r="T301" s="91"/>
    </row>
    <row r="302" spans="1:20" ht="15">
      <c r="A302" s="91"/>
      <c r="B302" s="91"/>
      <c r="C302" s="178" t="s">
        <v>251</v>
      </c>
      <c r="D302" s="171"/>
      <c r="E302" s="180">
        <f>+E51</f>
        <v>0.0528</v>
      </c>
      <c r="F302" s="171"/>
      <c r="G302" s="171"/>
      <c r="H302" s="171"/>
      <c r="I302" s="171"/>
      <c r="J302" s="91"/>
      <c r="K302" s="91"/>
      <c r="L302" s="91"/>
      <c r="M302" s="91"/>
      <c r="N302" s="91"/>
      <c r="O302" s="91"/>
      <c r="P302" s="91"/>
      <c r="Q302" s="91"/>
      <c r="R302" s="91"/>
      <c r="S302" s="91"/>
      <c r="T302" s="91"/>
    </row>
    <row r="303" spans="1:20" ht="15">
      <c r="A303" s="91"/>
      <c r="B303" s="91"/>
      <c r="C303" s="171"/>
      <c r="D303" s="171"/>
      <c r="E303" s="171"/>
      <c r="F303" s="171"/>
      <c r="G303" s="171"/>
      <c r="H303" s="171"/>
      <c r="I303" s="171"/>
      <c r="J303" s="91"/>
      <c r="K303" s="91"/>
      <c r="L303" s="91"/>
      <c r="M303" s="91"/>
      <c r="N303" s="91"/>
      <c r="O303" s="91"/>
      <c r="P303" s="91"/>
      <c r="Q303" s="91"/>
      <c r="R303" s="91"/>
      <c r="S303" s="91"/>
      <c r="T303" s="91"/>
    </row>
    <row r="304" spans="1:20" ht="15">
      <c r="A304" s="91"/>
      <c r="B304" s="91"/>
      <c r="C304" s="171"/>
      <c r="D304" s="171" t="s">
        <v>318</v>
      </c>
      <c r="E304" s="180">
        <f>+E302</f>
        <v>0.0528</v>
      </c>
      <c r="F304" s="171">
        <f>+F51</f>
        <v>31497070</v>
      </c>
      <c r="G304" s="200">
        <v>40634</v>
      </c>
      <c r="H304" s="171">
        <f>+$F$63-G304+1</f>
        <v>366</v>
      </c>
      <c r="I304" s="171">
        <f>+F304*$E$302*H304/366</f>
        <v>1663045.2960000003</v>
      </c>
      <c r="J304" s="91"/>
      <c r="K304" s="91">
        <v>0</v>
      </c>
      <c r="L304" s="91"/>
      <c r="M304" s="91"/>
      <c r="N304" s="91"/>
      <c r="O304" s="91"/>
      <c r="P304" s="91"/>
      <c r="Q304" s="91"/>
      <c r="R304" s="91"/>
      <c r="S304" s="91"/>
      <c r="T304" s="91"/>
    </row>
    <row r="305" spans="1:20" ht="15">
      <c r="A305" s="91"/>
      <c r="B305" s="91"/>
      <c r="C305" s="171"/>
      <c r="D305" s="171"/>
      <c r="E305" s="180"/>
      <c r="F305" s="171"/>
      <c r="G305" s="171"/>
      <c r="H305" s="171"/>
      <c r="I305" s="171"/>
      <c r="J305" s="91"/>
      <c r="K305" s="91"/>
      <c r="L305" s="91"/>
      <c r="M305" s="91"/>
      <c r="N305" s="91"/>
      <c r="O305" s="91"/>
      <c r="P305" s="91"/>
      <c r="Q305" s="91"/>
      <c r="R305" s="91"/>
      <c r="S305" s="91"/>
      <c r="T305" s="91"/>
    </row>
    <row r="306" spans="1:20" ht="15.75" thickBot="1">
      <c r="A306" s="91"/>
      <c r="B306" s="91"/>
      <c r="C306" s="171"/>
      <c r="D306" s="171" t="s">
        <v>285</v>
      </c>
      <c r="E306" s="171"/>
      <c r="F306" s="205">
        <f>SUM(F304:F305)</f>
        <v>31497070</v>
      </c>
      <c r="G306" s="171"/>
      <c r="H306" s="178"/>
      <c r="I306" s="205">
        <f>SUM(I304:I305)</f>
        <v>1663045.2960000003</v>
      </c>
      <c r="J306" s="91"/>
      <c r="K306" s="174">
        <f>SUM(K304:K305)</f>
        <v>0</v>
      </c>
      <c r="L306" s="174">
        <f>SUM(L304:L305)</f>
        <v>0</v>
      </c>
      <c r="M306" s="91"/>
      <c r="N306" s="91"/>
      <c r="O306" s="91"/>
      <c r="P306" s="91"/>
      <c r="Q306" s="91"/>
      <c r="R306" s="91"/>
      <c r="S306" s="91"/>
      <c r="T306" s="91"/>
    </row>
    <row r="307" spans="1:20" ht="15.75" thickTop="1">
      <c r="A307" s="91"/>
      <c r="B307" s="91"/>
      <c r="C307" s="171"/>
      <c r="D307" s="91"/>
      <c r="E307" s="171"/>
      <c r="F307" s="192"/>
      <c r="G307" s="171"/>
      <c r="H307" s="178"/>
      <c r="I307" s="192"/>
      <c r="J307" s="91"/>
      <c r="K307" s="37"/>
      <c r="L307" s="37"/>
      <c r="M307" s="91"/>
      <c r="N307" s="91"/>
      <c r="O307" s="91"/>
      <c r="P307" s="91"/>
      <c r="Q307" s="91"/>
      <c r="R307" s="91"/>
      <c r="S307" s="91"/>
      <c r="T307" s="91"/>
    </row>
    <row r="308" spans="1:20" ht="15">
      <c r="A308" s="91"/>
      <c r="B308" s="91"/>
      <c r="C308" s="171"/>
      <c r="D308" s="91" t="s">
        <v>80</v>
      </c>
      <c r="E308" s="182"/>
      <c r="F308" s="184">
        <v>459745</v>
      </c>
      <c r="G308" s="164">
        <v>40694</v>
      </c>
      <c r="H308" s="91">
        <f>+$F$63-G308+1</f>
        <v>306</v>
      </c>
      <c r="I308" s="184">
        <f>+F308*$E$302*H308/366</f>
        <v>20295.103868852457</v>
      </c>
      <c r="J308" s="91"/>
      <c r="K308" s="37">
        <f>+F308</f>
        <v>459745</v>
      </c>
      <c r="L308" s="37">
        <v>0</v>
      </c>
      <c r="M308" s="91"/>
      <c r="N308" s="91"/>
      <c r="O308" s="91"/>
      <c r="P308" s="91"/>
      <c r="Q308" s="91"/>
      <c r="R308" s="91"/>
      <c r="S308" s="91"/>
      <c r="T308" s="91"/>
    </row>
    <row r="309" spans="1:20" ht="15">
      <c r="A309" s="91"/>
      <c r="B309" s="91"/>
      <c r="C309" s="171"/>
      <c r="D309" s="91" t="s">
        <v>81</v>
      </c>
      <c r="E309" s="182"/>
      <c r="F309" s="184">
        <v>112606</v>
      </c>
      <c r="G309" s="164">
        <v>40724</v>
      </c>
      <c r="H309" s="91">
        <f>+$F$63-G309+1</f>
        <v>276</v>
      </c>
      <c r="I309" s="184">
        <f>+F309*$E$302*H309/366</f>
        <v>4483.5648</v>
      </c>
      <c r="J309" s="91"/>
      <c r="K309" s="37">
        <f>+F309</f>
        <v>112606</v>
      </c>
      <c r="L309" s="37"/>
      <c r="M309" s="91"/>
      <c r="N309" s="91"/>
      <c r="O309" s="91"/>
      <c r="P309" s="91"/>
      <c r="Q309" s="91"/>
      <c r="R309" s="91"/>
      <c r="S309" s="91"/>
      <c r="T309" s="91"/>
    </row>
    <row r="310" spans="1:20" ht="15.75" thickBot="1">
      <c r="A310" s="91"/>
      <c r="B310" s="91"/>
      <c r="C310" s="91"/>
      <c r="D310" s="91"/>
      <c r="E310" s="91"/>
      <c r="F310" s="174">
        <f>SUM(F308:F309)</f>
        <v>572351</v>
      </c>
      <c r="G310" s="91"/>
      <c r="H310" s="91"/>
      <c r="I310" s="174">
        <f>SUM(I308:I309)</f>
        <v>24778.668668852457</v>
      </c>
      <c r="J310" s="91"/>
      <c r="K310" s="174">
        <f>SUM(K308:K309)</f>
        <v>572351</v>
      </c>
      <c r="L310" s="174">
        <f>SUM(L308:L309)</f>
        <v>0</v>
      </c>
      <c r="M310" s="91"/>
      <c r="N310" s="91"/>
      <c r="O310" s="91"/>
      <c r="P310" s="91"/>
      <c r="Q310" s="91"/>
      <c r="R310" s="91"/>
      <c r="S310" s="91"/>
      <c r="T310" s="91"/>
    </row>
    <row r="311" spans="1:20" ht="15.75" thickTop="1">
      <c r="A311" s="91"/>
      <c r="B311" s="91"/>
      <c r="C311" s="91"/>
      <c r="D311" s="91"/>
      <c r="E311" s="91"/>
      <c r="F311" s="37"/>
      <c r="G311" s="91"/>
      <c r="H311" s="91"/>
      <c r="I311" s="91"/>
      <c r="J311" s="91"/>
      <c r="K311" s="91"/>
      <c r="L311" s="91"/>
      <c r="M311" s="91"/>
      <c r="N311" s="91"/>
      <c r="O311" s="91"/>
      <c r="P311" s="91"/>
      <c r="Q311" s="91"/>
      <c r="R311" s="91"/>
      <c r="S311" s="91"/>
      <c r="T311" s="91"/>
    </row>
    <row r="312" spans="1:20" ht="15">
      <c r="A312" s="91"/>
      <c r="B312" s="91"/>
      <c r="C312" s="91"/>
      <c r="D312" s="91"/>
      <c r="E312" s="91"/>
      <c r="F312" s="215">
        <f>+F306</f>
        <v>31497070</v>
      </c>
      <c r="G312" s="171" t="s">
        <v>91</v>
      </c>
      <c r="H312" s="171"/>
      <c r="I312" s="176">
        <f>+I306</f>
        <v>1663045.2960000003</v>
      </c>
      <c r="J312" s="91"/>
      <c r="K312" s="91"/>
      <c r="L312" s="91"/>
      <c r="M312" s="91"/>
      <c r="N312" s="91"/>
      <c r="O312" s="91"/>
      <c r="P312" s="91"/>
      <c r="Q312" s="91"/>
      <c r="R312" s="91"/>
      <c r="S312" s="91"/>
      <c r="T312" s="91"/>
    </row>
    <row r="313" spans="1:20" ht="15">
      <c r="A313" s="91"/>
      <c r="B313" s="91"/>
      <c r="C313" s="91"/>
      <c r="D313" s="91"/>
      <c r="E313" s="91"/>
      <c r="F313" s="91">
        <f>+F310</f>
        <v>572351</v>
      </c>
      <c r="G313" s="91" t="s">
        <v>92</v>
      </c>
      <c r="H313" s="91"/>
      <c r="I313" s="37">
        <f>+I310</f>
        <v>24778.668668852457</v>
      </c>
      <c r="J313" s="91"/>
      <c r="K313" s="91"/>
      <c r="L313" s="91"/>
      <c r="M313" s="91"/>
      <c r="N313" s="91"/>
      <c r="O313" s="91"/>
      <c r="P313" s="91"/>
      <c r="Q313" s="91"/>
      <c r="R313" s="91"/>
      <c r="S313" s="91"/>
      <c r="T313" s="91"/>
    </row>
    <row r="314" spans="1:20" ht="15.75" thickBot="1">
      <c r="A314" s="91"/>
      <c r="B314" s="91"/>
      <c r="C314" s="91"/>
      <c r="D314" s="91"/>
      <c r="E314" s="91"/>
      <c r="F314" s="174">
        <f>SUM(F312:F313)</f>
        <v>32069421</v>
      </c>
      <c r="G314" s="91" t="s">
        <v>285</v>
      </c>
      <c r="H314" s="91"/>
      <c r="I314" s="174">
        <f>SUM(I312:I313)</f>
        <v>1687823.9646688527</v>
      </c>
      <c r="J314" s="91"/>
      <c r="K314" s="91"/>
      <c r="L314" s="91"/>
      <c r="M314" s="91"/>
      <c r="N314" s="91"/>
      <c r="O314" s="91"/>
      <c r="P314" s="91"/>
      <c r="Q314" s="91"/>
      <c r="R314" s="91"/>
      <c r="S314" s="91"/>
      <c r="T314" s="91"/>
    </row>
    <row r="315" spans="1:20" ht="15.75" thickTop="1">
      <c r="A315" s="91"/>
      <c r="B315" s="91"/>
      <c r="C315" s="91"/>
      <c r="D315" s="171" t="s">
        <v>252</v>
      </c>
      <c r="E315" s="216">
        <v>0.0742</v>
      </c>
      <c r="F315" s="171"/>
      <c r="G315" s="171"/>
      <c r="H315" s="171"/>
      <c r="I315" s="171"/>
      <c r="J315" s="91"/>
      <c r="K315" s="91"/>
      <c r="L315" s="91"/>
      <c r="M315" s="91"/>
      <c r="N315" s="91"/>
      <c r="O315" s="91"/>
      <c r="P315" s="91"/>
      <c r="Q315" s="91"/>
      <c r="R315" s="91"/>
      <c r="S315" s="91"/>
      <c r="T315" s="91"/>
    </row>
    <row r="316" spans="1:20" ht="15">
      <c r="A316" s="91"/>
      <c r="B316" s="91"/>
      <c r="C316" s="91"/>
      <c r="D316" s="171"/>
      <c r="E316" s="216"/>
      <c r="F316" s="171"/>
      <c r="G316" s="171"/>
      <c r="H316" s="171"/>
      <c r="I316" s="171"/>
      <c r="J316" s="91"/>
      <c r="K316" s="91"/>
      <c r="L316" s="91"/>
      <c r="M316" s="91"/>
      <c r="N316" s="91"/>
      <c r="O316" s="91"/>
      <c r="P316" s="91"/>
      <c r="Q316" s="91"/>
      <c r="R316" s="91"/>
      <c r="S316" s="91"/>
      <c r="T316" s="91"/>
    </row>
    <row r="317" spans="1:20" ht="15">
      <c r="A317" s="91"/>
      <c r="B317" s="91"/>
      <c r="C317" s="91"/>
      <c r="D317" s="171"/>
      <c r="E317" s="216"/>
      <c r="F317" s="171"/>
      <c r="G317" s="171"/>
      <c r="H317" s="171"/>
      <c r="I317" s="171"/>
      <c r="J317" s="91"/>
      <c r="K317" s="91"/>
      <c r="L317" s="91"/>
      <c r="M317" s="91"/>
      <c r="N317" s="91"/>
      <c r="O317" s="91"/>
      <c r="P317" s="91"/>
      <c r="Q317" s="91"/>
      <c r="R317" s="91"/>
      <c r="S317" s="91"/>
      <c r="T317" s="91"/>
    </row>
    <row r="318" spans="1:20" ht="15">
      <c r="A318" s="91"/>
      <c r="B318" s="91"/>
      <c r="C318" s="91"/>
      <c r="D318" s="171" t="s">
        <v>318</v>
      </c>
      <c r="E318" s="180">
        <f>+E315</f>
        <v>0.0742</v>
      </c>
      <c r="F318" s="171">
        <f>+F52</f>
        <v>1923674</v>
      </c>
      <c r="G318" s="200">
        <v>40634</v>
      </c>
      <c r="H318" s="171">
        <f>+$F$63-G318+1</f>
        <v>366</v>
      </c>
      <c r="I318" s="171">
        <f>+F318*$E$315*H318/366</f>
        <v>142736.6108</v>
      </c>
      <c r="J318" s="91"/>
      <c r="K318" s="91"/>
      <c r="L318" s="91"/>
      <c r="M318" s="91"/>
      <c r="N318" s="91"/>
      <c r="O318" s="91"/>
      <c r="P318" s="91"/>
      <c r="Q318" s="91"/>
      <c r="R318" s="91"/>
      <c r="S318" s="91"/>
      <c r="T318" s="91"/>
    </row>
    <row r="319" spans="1:20" ht="15">
      <c r="A319" s="91"/>
      <c r="B319" s="91"/>
      <c r="C319" s="91"/>
      <c r="D319" s="171"/>
      <c r="E319" s="180"/>
      <c r="F319" s="171"/>
      <c r="G319" s="171"/>
      <c r="H319" s="171"/>
      <c r="I319" s="171"/>
      <c r="J319" s="91"/>
      <c r="K319" s="91"/>
      <c r="L319" s="91"/>
      <c r="M319" s="91"/>
      <c r="N319" s="91"/>
      <c r="O319" s="91"/>
      <c r="P319" s="91"/>
      <c r="Q319" s="91"/>
      <c r="R319" s="91"/>
      <c r="S319" s="91"/>
      <c r="T319" s="91"/>
    </row>
    <row r="320" spans="1:20" ht="15.75" thickBot="1">
      <c r="A320" s="91"/>
      <c r="B320" s="91"/>
      <c r="C320" s="91"/>
      <c r="D320" s="171" t="s">
        <v>285</v>
      </c>
      <c r="E320" s="171"/>
      <c r="F320" s="205">
        <f>SUM(F318:F319)</f>
        <v>1923674</v>
      </c>
      <c r="G320" s="171"/>
      <c r="H320" s="178"/>
      <c r="I320" s="205">
        <f>SUM(I318:I319)</f>
        <v>142736.6108</v>
      </c>
      <c r="J320" s="91"/>
      <c r="K320" s="91"/>
      <c r="L320" s="91"/>
      <c r="M320" s="91"/>
      <c r="N320" s="91"/>
      <c r="O320" s="91"/>
      <c r="P320" s="91"/>
      <c r="Q320" s="91"/>
      <c r="R320" s="91"/>
      <c r="S320" s="91"/>
      <c r="T320" s="91"/>
    </row>
    <row r="321" spans="1:20" ht="15.75" thickTop="1">
      <c r="A321" s="91"/>
      <c r="B321" s="91"/>
      <c r="C321" s="91"/>
      <c r="D321" s="171"/>
      <c r="E321" s="171"/>
      <c r="F321" s="192"/>
      <c r="G321" s="171"/>
      <c r="H321" s="178"/>
      <c r="I321" s="192"/>
      <c r="J321" s="91"/>
      <c r="K321" s="91"/>
      <c r="L321" s="91"/>
      <c r="M321" s="91"/>
      <c r="N321" s="91"/>
      <c r="O321" s="91"/>
      <c r="P321" s="91"/>
      <c r="Q321" s="91"/>
      <c r="R321" s="91"/>
      <c r="S321" s="91"/>
      <c r="T321" s="91"/>
    </row>
    <row r="322" spans="1:20" ht="15">
      <c r="A322" s="91"/>
      <c r="B322" s="91"/>
      <c r="C322" s="91"/>
      <c r="D322" s="171"/>
      <c r="E322" s="171"/>
      <c r="F322" s="192">
        <f>+F320</f>
        <v>1923674</v>
      </c>
      <c r="G322" s="171" t="s">
        <v>91</v>
      </c>
      <c r="H322" s="171"/>
      <c r="I322" s="176">
        <f>+I320</f>
        <v>142736.6108</v>
      </c>
      <c r="J322" s="91"/>
      <c r="K322" s="91"/>
      <c r="L322" s="91"/>
      <c r="M322" s="91"/>
      <c r="N322" s="91"/>
      <c r="O322" s="91"/>
      <c r="P322" s="91"/>
      <c r="Q322" s="91"/>
      <c r="R322" s="91"/>
      <c r="S322" s="91"/>
      <c r="T322" s="91"/>
    </row>
    <row r="323" spans="1:20" ht="15">
      <c r="A323" s="91"/>
      <c r="B323" s="91"/>
      <c r="C323" s="91"/>
      <c r="D323" s="171"/>
      <c r="E323" s="171"/>
      <c r="F323" s="192">
        <v>0</v>
      </c>
      <c r="G323" s="91" t="s">
        <v>92</v>
      </c>
      <c r="H323" s="91"/>
      <c r="I323" s="37">
        <v>0</v>
      </c>
      <c r="J323" s="91"/>
      <c r="K323" s="91"/>
      <c r="L323" s="91"/>
      <c r="M323" s="91"/>
      <c r="N323" s="91"/>
      <c r="O323" s="91"/>
      <c r="P323" s="91"/>
      <c r="Q323" s="91"/>
      <c r="R323" s="91"/>
      <c r="S323" s="91"/>
      <c r="T323" s="91"/>
    </row>
    <row r="324" spans="1:20" ht="15.75" thickBot="1">
      <c r="A324" s="91"/>
      <c r="B324" s="91"/>
      <c r="C324" s="91"/>
      <c r="D324" s="171"/>
      <c r="E324" s="171"/>
      <c r="F324" s="217">
        <f>SUM(F322:F323)</f>
        <v>1923674</v>
      </c>
      <c r="G324" s="91" t="s">
        <v>285</v>
      </c>
      <c r="H324" s="91"/>
      <c r="I324" s="174">
        <f>SUM(I322:I323)</f>
        <v>142736.6108</v>
      </c>
      <c r="J324" s="91"/>
      <c r="K324" s="174">
        <f>SUM(K321:K323)</f>
        <v>0</v>
      </c>
      <c r="L324" s="174">
        <f>SUM(L321:L323)</f>
        <v>0</v>
      </c>
      <c r="M324" s="91"/>
      <c r="N324" s="91"/>
      <c r="O324" s="91"/>
      <c r="P324" s="91"/>
      <c r="Q324" s="91"/>
      <c r="R324" s="91"/>
      <c r="S324" s="91"/>
      <c r="T324" s="91"/>
    </row>
    <row r="325" spans="1:20" ht="15.75" thickTop="1">
      <c r="A325" s="91"/>
      <c r="B325" s="91"/>
      <c r="C325" s="91"/>
      <c r="D325" s="91"/>
      <c r="E325" s="182"/>
      <c r="F325" s="91"/>
      <c r="G325" s="91"/>
      <c r="H325" s="91"/>
      <c r="I325" s="91"/>
      <c r="J325" s="91"/>
      <c r="K325" s="91"/>
      <c r="L325" s="91"/>
      <c r="M325" s="91"/>
      <c r="N325" s="91"/>
      <c r="O325" s="91"/>
      <c r="P325" s="91"/>
      <c r="Q325" s="91"/>
      <c r="R325" s="91"/>
      <c r="S325" s="91"/>
      <c r="T325" s="91"/>
    </row>
    <row r="326" spans="1:20" ht="15">
      <c r="A326" s="91"/>
      <c r="B326" s="91"/>
      <c r="C326" s="91"/>
      <c r="D326" s="91"/>
      <c r="E326" s="182"/>
      <c r="F326" s="91"/>
      <c r="G326" s="91"/>
      <c r="H326" s="91"/>
      <c r="I326" s="91"/>
      <c r="J326" s="91"/>
      <c r="K326" s="91"/>
      <c r="L326" s="91"/>
      <c r="M326" s="91"/>
      <c r="N326" s="91"/>
      <c r="O326" s="91"/>
      <c r="P326" s="91"/>
      <c r="Q326" s="91"/>
      <c r="R326" s="91"/>
      <c r="S326" s="91"/>
      <c r="T326" s="91"/>
    </row>
    <row r="327" spans="1:20" ht="15">
      <c r="A327" s="91"/>
      <c r="B327" s="91"/>
      <c r="C327" s="91"/>
      <c r="D327" s="171" t="s">
        <v>253</v>
      </c>
      <c r="E327" s="216">
        <f>+E53</f>
        <v>0.0475</v>
      </c>
      <c r="F327" s="171"/>
      <c r="G327" s="171"/>
      <c r="H327" s="171"/>
      <c r="I327" s="171"/>
      <c r="J327" s="91"/>
      <c r="K327" s="91"/>
      <c r="L327" s="91"/>
      <c r="M327" s="91"/>
      <c r="N327" s="91"/>
      <c r="O327" s="91"/>
      <c r="P327" s="91"/>
      <c r="Q327" s="91"/>
      <c r="R327" s="91"/>
      <c r="S327" s="91"/>
      <c r="T327" s="91"/>
    </row>
    <row r="328" spans="1:20" ht="15">
      <c r="A328" s="91"/>
      <c r="B328" s="91"/>
      <c r="C328" s="91"/>
      <c r="D328" s="171"/>
      <c r="E328" s="216"/>
      <c r="F328" s="171"/>
      <c r="G328" s="171"/>
      <c r="H328" s="171"/>
      <c r="I328" s="171"/>
      <c r="J328" s="91"/>
      <c r="K328" s="91"/>
      <c r="L328" s="91"/>
      <c r="M328" s="91"/>
      <c r="N328" s="91"/>
      <c r="O328" s="91"/>
      <c r="P328" s="91"/>
      <c r="Q328" s="91"/>
      <c r="R328" s="91"/>
      <c r="S328" s="91"/>
      <c r="T328" s="91"/>
    </row>
    <row r="329" spans="1:20" ht="15">
      <c r="A329" s="91"/>
      <c r="B329" s="91"/>
      <c r="C329" s="91"/>
      <c r="D329" s="171"/>
      <c r="E329" s="216"/>
      <c r="F329" s="171"/>
      <c r="G329" s="171"/>
      <c r="H329" s="171"/>
      <c r="I329" s="171"/>
      <c r="J329" s="91"/>
      <c r="K329" s="91"/>
      <c r="L329" s="91"/>
      <c r="M329" s="91"/>
      <c r="N329" s="91"/>
      <c r="O329" s="91"/>
      <c r="P329" s="91"/>
      <c r="Q329" s="91"/>
      <c r="R329" s="91"/>
      <c r="S329" s="91"/>
      <c r="T329" s="91"/>
    </row>
    <row r="330" spans="1:20" ht="15">
      <c r="A330" s="91"/>
      <c r="B330" s="91"/>
      <c r="C330" s="91"/>
      <c r="D330" s="171" t="s">
        <v>254</v>
      </c>
      <c r="E330" s="180">
        <f>+E327</f>
        <v>0.0475</v>
      </c>
      <c r="F330" s="171">
        <f>749407+185879</f>
        <v>935286</v>
      </c>
      <c r="G330" s="200">
        <v>40634</v>
      </c>
      <c r="H330" s="171">
        <f>+$F$63-G330+1</f>
        <v>366</v>
      </c>
      <c r="I330" s="171">
        <f>+F330*$E$327*H330/366</f>
        <v>44426.085</v>
      </c>
      <c r="J330" s="91"/>
      <c r="K330" s="91"/>
      <c r="L330" s="91"/>
      <c r="M330" s="91"/>
      <c r="N330" s="91"/>
      <c r="O330" s="91"/>
      <c r="P330" s="91"/>
      <c r="Q330" s="91"/>
      <c r="R330" s="91"/>
      <c r="S330" s="91"/>
      <c r="T330" s="91"/>
    </row>
    <row r="331" spans="1:20" ht="15">
      <c r="A331" s="91"/>
      <c r="B331" s="91"/>
      <c r="C331" s="91"/>
      <c r="D331" s="171" t="s">
        <v>255</v>
      </c>
      <c r="E331" s="180">
        <f>+E330</f>
        <v>0.0475</v>
      </c>
      <c r="F331" s="171">
        <v>957341</v>
      </c>
      <c r="G331" s="200">
        <v>40634</v>
      </c>
      <c r="H331" s="171">
        <f>+$F$63-G331+1</f>
        <v>366</v>
      </c>
      <c r="I331" s="171">
        <f>+F331*$E$327*H331/366</f>
        <v>45473.6975</v>
      </c>
      <c r="J331" s="91"/>
      <c r="K331" s="91"/>
      <c r="L331" s="91"/>
      <c r="M331" s="91"/>
      <c r="N331" s="91"/>
      <c r="O331" s="91"/>
      <c r="P331" s="91"/>
      <c r="Q331" s="91"/>
      <c r="R331" s="91"/>
      <c r="S331" s="91"/>
      <c r="T331" s="91"/>
    </row>
    <row r="332" spans="1:20" ht="15">
      <c r="A332" s="91"/>
      <c r="B332" s="91"/>
      <c r="C332" s="91"/>
      <c r="D332" s="171" t="s">
        <v>256</v>
      </c>
      <c r="E332" s="180">
        <f>+E331</f>
        <v>0.0475</v>
      </c>
      <c r="F332" s="171">
        <v>75000</v>
      </c>
      <c r="G332" s="200">
        <v>40634</v>
      </c>
      <c r="H332" s="171">
        <f>+$F$63-G332+1</f>
        <v>366</v>
      </c>
      <c r="I332" s="171">
        <f>+F332*$E$327*H332/366</f>
        <v>3562.5</v>
      </c>
      <c r="J332" s="91"/>
      <c r="K332" s="91"/>
      <c r="L332" s="91"/>
      <c r="M332" s="91"/>
      <c r="N332" s="91"/>
      <c r="O332" s="91"/>
      <c r="P332" s="91"/>
      <c r="Q332" s="91"/>
      <c r="R332" s="91"/>
      <c r="S332" s="91"/>
      <c r="T332" s="91"/>
    </row>
    <row r="333" spans="1:20" ht="15">
      <c r="A333" s="91"/>
      <c r="B333" s="91"/>
      <c r="C333" s="91"/>
      <c r="D333" s="171" t="s">
        <v>183</v>
      </c>
      <c r="E333" s="180"/>
      <c r="F333" s="171"/>
      <c r="G333" s="200"/>
      <c r="H333" s="171"/>
      <c r="I333" s="171"/>
      <c r="J333" s="91"/>
      <c r="K333" s="91"/>
      <c r="L333" s="91"/>
      <c r="M333" s="91"/>
      <c r="N333" s="91"/>
      <c r="O333" s="91"/>
      <c r="P333" s="91"/>
      <c r="Q333" s="91"/>
      <c r="R333" s="91"/>
      <c r="S333" s="91"/>
      <c r="T333" s="91"/>
    </row>
    <row r="334" spans="1:20" ht="15.75" thickBot="1">
      <c r="A334" s="91"/>
      <c r="B334" s="91"/>
      <c r="C334" s="91"/>
      <c r="D334" s="171" t="s">
        <v>285</v>
      </c>
      <c r="E334" s="171"/>
      <c r="F334" s="205">
        <f>SUM(F330:F332)</f>
        <v>1967627</v>
      </c>
      <c r="G334" s="171"/>
      <c r="H334" s="178"/>
      <c r="I334" s="205">
        <f>SUM(I330:I332)</f>
        <v>93462.2825</v>
      </c>
      <c r="J334" s="91"/>
      <c r="K334" s="91"/>
      <c r="L334" s="91"/>
      <c r="M334" s="91"/>
      <c r="N334" s="91"/>
      <c r="O334" s="91"/>
      <c r="P334" s="91"/>
      <c r="Q334" s="91"/>
      <c r="R334" s="91"/>
      <c r="S334" s="91"/>
      <c r="T334" s="91"/>
    </row>
    <row r="335" spans="1:20" ht="15.75" thickTop="1">
      <c r="A335" s="91"/>
      <c r="B335" s="91"/>
      <c r="C335" s="91"/>
      <c r="D335" s="171"/>
      <c r="E335" s="171"/>
      <c r="F335" s="192"/>
      <c r="G335" s="171"/>
      <c r="H335" s="178"/>
      <c r="I335" s="192"/>
      <c r="J335" s="91"/>
      <c r="K335" s="91"/>
      <c r="L335" s="91"/>
      <c r="M335" s="91"/>
      <c r="N335" s="91"/>
      <c r="O335" s="91"/>
      <c r="P335" s="91"/>
      <c r="Q335" s="91"/>
      <c r="R335" s="91"/>
      <c r="S335" s="91"/>
      <c r="T335" s="91"/>
    </row>
    <row r="336" spans="1:20" ht="15">
      <c r="A336" s="91"/>
      <c r="B336" s="91"/>
      <c r="C336" s="91"/>
      <c r="D336" s="91" t="s">
        <v>215</v>
      </c>
      <c r="E336" s="91"/>
      <c r="F336" s="184"/>
      <c r="G336" s="91"/>
      <c r="H336" s="97"/>
      <c r="I336" s="184"/>
      <c r="J336" s="91"/>
      <c r="K336" s="91"/>
      <c r="L336" s="91"/>
      <c r="M336" s="91"/>
      <c r="N336" s="91"/>
      <c r="O336" s="91"/>
      <c r="P336" s="91"/>
      <c r="Q336" s="91"/>
      <c r="R336" s="91"/>
      <c r="S336" s="91"/>
      <c r="T336" s="91"/>
    </row>
    <row r="337" spans="1:20" ht="15">
      <c r="A337" s="91"/>
      <c r="B337" s="91"/>
      <c r="C337" s="91"/>
      <c r="D337" s="91" t="s">
        <v>256</v>
      </c>
      <c r="E337" s="182">
        <v>0.0475</v>
      </c>
      <c r="F337" s="184">
        <v>0</v>
      </c>
      <c r="G337" s="164">
        <v>40448</v>
      </c>
      <c r="H337" s="91">
        <f>+$F$63-G337+1</f>
        <v>552</v>
      </c>
      <c r="I337" s="91">
        <f>+F337*$E$327*H337/365</f>
        <v>0</v>
      </c>
      <c r="J337" s="91"/>
      <c r="K337" s="91">
        <v>0</v>
      </c>
      <c r="L337" s="91">
        <f>+F337</f>
        <v>0</v>
      </c>
      <c r="M337" s="91"/>
      <c r="N337" s="91"/>
      <c r="O337" s="91"/>
      <c r="P337" s="91"/>
      <c r="Q337" s="91"/>
      <c r="R337" s="91"/>
      <c r="S337" s="91"/>
      <c r="T337" s="91"/>
    </row>
    <row r="338" spans="1:20" ht="15.75" thickBot="1">
      <c r="A338" s="91"/>
      <c r="B338" s="91"/>
      <c r="C338" s="91"/>
      <c r="D338" s="171"/>
      <c r="E338" s="216"/>
      <c r="F338" s="177">
        <f>SUM(F337)</f>
        <v>0</v>
      </c>
      <c r="G338" s="170"/>
      <c r="H338" s="171"/>
      <c r="I338" s="191">
        <f>SUM(I337)</f>
        <v>0</v>
      </c>
      <c r="J338" s="91"/>
      <c r="K338" s="174">
        <f>SUM(K337)</f>
        <v>0</v>
      </c>
      <c r="L338" s="174">
        <f>SUM(L337)</f>
        <v>0</v>
      </c>
      <c r="M338" s="91"/>
      <c r="N338" s="91"/>
      <c r="O338" s="91"/>
      <c r="P338" s="91"/>
      <c r="Q338" s="91"/>
      <c r="R338" s="91"/>
      <c r="S338" s="91"/>
      <c r="T338" s="91"/>
    </row>
    <row r="339" spans="1:20" ht="15.75" thickTop="1">
      <c r="A339" s="91"/>
      <c r="B339" s="91"/>
      <c r="C339" s="91"/>
      <c r="D339" s="171"/>
      <c r="E339" s="216"/>
      <c r="F339" s="192"/>
      <c r="G339" s="170"/>
      <c r="H339" s="171"/>
      <c r="I339" s="171"/>
      <c r="J339" s="91"/>
      <c r="K339" s="91"/>
      <c r="L339" s="91"/>
      <c r="M339" s="91"/>
      <c r="N339" s="91"/>
      <c r="O339" s="91"/>
      <c r="P339" s="91"/>
      <c r="Q339" s="91"/>
      <c r="R339" s="91"/>
      <c r="S339" s="91"/>
      <c r="T339" s="91"/>
    </row>
    <row r="340" spans="1:20" ht="15">
      <c r="A340" s="91"/>
      <c r="B340" s="91"/>
      <c r="C340" s="91"/>
      <c r="D340" s="171"/>
      <c r="E340" s="171"/>
      <c r="F340" s="192"/>
      <c r="G340" s="171"/>
      <c r="H340" s="178"/>
      <c r="I340" s="192"/>
      <c r="J340" s="91"/>
      <c r="K340" s="91"/>
      <c r="L340" s="91"/>
      <c r="M340" s="91"/>
      <c r="N340" s="91"/>
      <c r="O340" s="91"/>
      <c r="P340" s="91"/>
      <c r="Q340" s="91"/>
      <c r="R340" s="91"/>
      <c r="S340" s="91"/>
      <c r="T340" s="91"/>
    </row>
    <row r="341" spans="1:20" ht="15">
      <c r="A341" s="91"/>
      <c r="B341" s="91"/>
      <c r="C341" s="91"/>
      <c r="D341" s="171"/>
      <c r="E341" s="171"/>
      <c r="F341" s="192">
        <f>+F334</f>
        <v>1967627</v>
      </c>
      <c r="G341" s="171" t="s">
        <v>91</v>
      </c>
      <c r="H341" s="171"/>
      <c r="I341" s="176">
        <f>+I334</f>
        <v>93462.2825</v>
      </c>
      <c r="J341" s="91"/>
      <c r="K341" s="91"/>
      <c r="L341" s="91"/>
      <c r="M341" s="91"/>
      <c r="N341" s="91"/>
      <c r="O341" s="91"/>
      <c r="P341" s="91"/>
      <c r="Q341" s="91"/>
      <c r="R341" s="91"/>
      <c r="S341" s="91"/>
      <c r="T341" s="91"/>
    </row>
    <row r="342" spans="1:20" ht="15">
      <c r="A342" s="91"/>
      <c r="B342" s="91"/>
      <c r="C342" s="91"/>
      <c r="D342" s="171"/>
      <c r="E342" s="171"/>
      <c r="F342" s="192">
        <f>+F338</f>
        <v>0</v>
      </c>
      <c r="G342" s="91" t="s">
        <v>92</v>
      </c>
      <c r="H342" s="91"/>
      <c r="I342" s="37">
        <f>+I337</f>
        <v>0</v>
      </c>
      <c r="J342" s="91"/>
      <c r="K342" s="91"/>
      <c r="L342" s="91"/>
      <c r="M342" s="91"/>
      <c r="N342" s="91"/>
      <c r="O342" s="91"/>
      <c r="P342" s="91"/>
      <c r="Q342" s="91"/>
      <c r="R342" s="91"/>
      <c r="S342" s="91"/>
      <c r="T342" s="91"/>
    </row>
    <row r="343" spans="1:20" ht="15.75" thickBot="1">
      <c r="A343" s="91"/>
      <c r="B343" s="91"/>
      <c r="C343" s="91"/>
      <c r="D343" s="91"/>
      <c r="E343" s="182"/>
      <c r="F343" s="174">
        <f>SUM(F341:F342)</f>
        <v>1967627</v>
      </c>
      <c r="G343" s="91" t="s">
        <v>285</v>
      </c>
      <c r="H343" s="91"/>
      <c r="I343" s="174">
        <f>SUM(I341:I342)</f>
        <v>93462.2825</v>
      </c>
      <c r="J343" s="91"/>
      <c r="K343" s="91"/>
      <c r="L343" s="91"/>
      <c r="M343" s="91"/>
      <c r="N343" s="91"/>
      <c r="O343" s="91"/>
      <c r="P343" s="91"/>
      <c r="Q343" s="91"/>
      <c r="R343" s="91"/>
      <c r="S343" s="91"/>
      <c r="T343" s="91"/>
    </row>
    <row r="344" spans="1:20" ht="15.75" thickTop="1">
      <c r="A344" s="91"/>
      <c r="B344" s="91"/>
      <c r="C344" s="91"/>
      <c r="D344" s="171" t="s">
        <v>257</v>
      </c>
      <c r="E344" s="216">
        <v>0.0475</v>
      </c>
      <c r="F344" s="171"/>
      <c r="G344" s="171"/>
      <c r="H344" s="171"/>
      <c r="I344" s="171"/>
      <c r="J344" s="91"/>
      <c r="K344" s="91"/>
      <c r="L344" s="91"/>
      <c r="M344" s="91"/>
      <c r="N344" s="91"/>
      <c r="O344" s="91"/>
      <c r="P344" s="91"/>
      <c r="Q344" s="91"/>
      <c r="R344" s="91"/>
      <c r="S344" s="91"/>
      <c r="T344" s="91"/>
    </row>
    <row r="345" spans="1:20" ht="15">
      <c r="A345" s="91"/>
      <c r="B345" s="91"/>
      <c r="C345" s="91"/>
      <c r="D345" s="171"/>
      <c r="E345" s="216"/>
      <c r="F345" s="171"/>
      <c r="G345" s="171"/>
      <c r="H345" s="171"/>
      <c r="I345" s="171"/>
      <c r="J345" s="91"/>
      <c r="K345" s="91"/>
      <c r="L345" s="91"/>
      <c r="M345" s="91"/>
      <c r="N345" s="91"/>
      <c r="O345" s="91"/>
      <c r="P345" s="91"/>
      <c r="Q345" s="91"/>
      <c r="R345" s="91"/>
      <c r="S345" s="91"/>
      <c r="T345" s="91"/>
    </row>
    <row r="346" spans="1:20" ht="15">
      <c r="A346" s="91"/>
      <c r="B346" s="91"/>
      <c r="C346" s="91"/>
      <c r="D346" s="171"/>
      <c r="E346" s="216"/>
      <c r="F346" s="171"/>
      <c r="G346" s="171"/>
      <c r="H346" s="171"/>
      <c r="I346" s="171"/>
      <c r="J346" s="91"/>
      <c r="K346" s="91"/>
      <c r="L346" s="91"/>
      <c r="M346" s="91"/>
      <c r="N346" s="91"/>
      <c r="O346" s="91"/>
      <c r="P346" s="91"/>
      <c r="Q346" s="91"/>
      <c r="R346" s="91"/>
      <c r="S346" s="91"/>
      <c r="T346" s="91"/>
    </row>
    <row r="347" spans="1:20" ht="15">
      <c r="A347" s="91"/>
      <c r="B347" s="91"/>
      <c r="C347" s="91"/>
      <c r="D347" s="171" t="s">
        <v>318</v>
      </c>
      <c r="E347" s="180">
        <f>+E344</f>
        <v>0.0475</v>
      </c>
      <c r="F347" s="171">
        <f>+F54</f>
        <v>2550959</v>
      </c>
      <c r="G347" s="200">
        <v>40634</v>
      </c>
      <c r="H347" s="171">
        <f>+$F$63-G347+1</f>
        <v>366</v>
      </c>
      <c r="I347" s="171">
        <f>+F347*$E$344*H347/366</f>
        <v>121170.5525</v>
      </c>
      <c r="J347" s="91"/>
      <c r="K347" s="91"/>
      <c r="L347" s="91"/>
      <c r="M347" s="91"/>
      <c r="N347" s="91"/>
      <c r="O347" s="91"/>
      <c r="P347" s="91"/>
      <c r="Q347" s="91"/>
      <c r="R347" s="91"/>
      <c r="S347" s="91"/>
      <c r="T347" s="91"/>
    </row>
    <row r="348" spans="1:20" ht="15">
      <c r="A348" s="91"/>
      <c r="B348" s="91"/>
      <c r="C348" s="91"/>
      <c r="D348" s="171"/>
      <c r="E348" s="180"/>
      <c r="F348" s="171"/>
      <c r="G348" s="200"/>
      <c r="H348" s="171"/>
      <c r="I348" s="171"/>
      <c r="J348" s="91"/>
      <c r="K348" s="91"/>
      <c r="L348" s="91"/>
      <c r="M348" s="91"/>
      <c r="N348" s="91"/>
      <c r="O348" s="91"/>
      <c r="P348" s="91"/>
      <c r="Q348" s="91"/>
      <c r="R348" s="91"/>
      <c r="S348" s="91"/>
      <c r="T348" s="91"/>
    </row>
    <row r="349" spans="1:20" ht="15">
      <c r="A349" s="91"/>
      <c r="B349" s="91"/>
      <c r="C349" s="91"/>
      <c r="D349" s="171"/>
      <c r="E349" s="180"/>
      <c r="F349" s="171"/>
      <c r="G349" s="171"/>
      <c r="H349" s="171"/>
      <c r="I349" s="171"/>
      <c r="J349" s="91"/>
      <c r="K349" s="91"/>
      <c r="L349" s="91"/>
      <c r="M349" s="91"/>
      <c r="N349" s="91"/>
      <c r="O349" s="91"/>
      <c r="P349" s="91"/>
      <c r="Q349" s="91"/>
      <c r="R349" s="91"/>
      <c r="S349" s="91"/>
      <c r="T349" s="91"/>
    </row>
    <row r="350" spans="1:20" ht="15.75" thickBot="1">
      <c r="A350" s="91"/>
      <c r="B350" s="91"/>
      <c r="C350" s="91"/>
      <c r="D350" s="171" t="s">
        <v>285</v>
      </c>
      <c r="E350" s="171"/>
      <c r="F350" s="205">
        <f>SUM(F347:F349)</f>
        <v>2550959</v>
      </c>
      <c r="G350" s="171"/>
      <c r="H350" s="178"/>
      <c r="I350" s="205">
        <f>SUM(I347:I349)</f>
        <v>121170.5525</v>
      </c>
      <c r="J350" s="91"/>
      <c r="K350" s="91"/>
      <c r="L350" s="91"/>
      <c r="M350" s="91"/>
      <c r="N350" s="91"/>
      <c r="O350" s="91"/>
      <c r="P350" s="91"/>
      <c r="Q350" s="91"/>
      <c r="R350" s="91"/>
      <c r="S350" s="91"/>
      <c r="T350" s="91"/>
    </row>
    <row r="351" spans="1:20" ht="15.75" thickTop="1">
      <c r="A351" s="91"/>
      <c r="B351" s="91"/>
      <c r="C351" s="91"/>
      <c r="D351" s="171"/>
      <c r="E351" s="171"/>
      <c r="F351" s="192"/>
      <c r="G351" s="171"/>
      <c r="H351" s="178"/>
      <c r="I351" s="192"/>
      <c r="J351" s="91"/>
      <c r="K351" s="91"/>
      <c r="L351" s="91"/>
      <c r="M351" s="91"/>
      <c r="N351" s="91"/>
      <c r="O351" s="91"/>
      <c r="P351" s="91"/>
      <c r="Q351" s="91"/>
      <c r="R351" s="91"/>
      <c r="S351" s="91"/>
      <c r="T351" s="91"/>
    </row>
    <row r="352" spans="1:20" ht="15">
      <c r="A352" s="91"/>
      <c r="B352" s="91"/>
      <c r="C352" s="91"/>
      <c r="D352" s="171"/>
      <c r="E352" s="171"/>
      <c r="F352" s="192">
        <f>+F350</f>
        <v>2550959</v>
      </c>
      <c r="G352" s="171" t="s">
        <v>91</v>
      </c>
      <c r="H352" s="171"/>
      <c r="I352" s="176">
        <f>+I350</f>
        <v>121170.5525</v>
      </c>
      <c r="J352" s="91"/>
      <c r="K352" s="91"/>
      <c r="L352" s="91"/>
      <c r="M352" s="91"/>
      <c r="N352" s="91"/>
      <c r="O352" s="91"/>
      <c r="P352" s="91"/>
      <c r="Q352" s="91"/>
      <c r="R352" s="91"/>
      <c r="S352" s="91"/>
      <c r="T352" s="91"/>
    </row>
    <row r="353" spans="1:20" ht="15">
      <c r="A353" s="91"/>
      <c r="B353" s="91"/>
      <c r="C353" s="91"/>
      <c r="D353" s="91"/>
      <c r="E353" s="182"/>
      <c r="F353" s="91">
        <v>0</v>
      </c>
      <c r="G353" s="91" t="s">
        <v>92</v>
      </c>
      <c r="H353" s="91"/>
      <c r="I353" s="37">
        <v>0</v>
      </c>
      <c r="J353" s="91"/>
      <c r="K353" s="91"/>
      <c r="L353" s="91"/>
      <c r="M353" s="91"/>
      <c r="N353" s="91"/>
      <c r="O353" s="91"/>
      <c r="P353" s="91"/>
      <c r="Q353" s="91"/>
      <c r="R353" s="91"/>
      <c r="S353" s="91"/>
      <c r="T353" s="91"/>
    </row>
    <row r="354" spans="1:20" ht="15.75" thickBot="1">
      <c r="A354" s="91"/>
      <c r="B354" s="91"/>
      <c r="C354" s="91"/>
      <c r="D354" s="91"/>
      <c r="E354" s="91"/>
      <c r="F354" s="174">
        <f>SUM(F352:F353)</f>
        <v>2550959</v>
      </c>
      <c r="G354" s="91" t="s">
        <v>285</v>
      </c>
      <c r="H354" s="91"/>
      <c r="I354" s="174">
        <f>SUM(I352:I353)</f>
        <v>121170.5525</v>
      </c>
      <c r="J354" s="91"/>
      <c r="K354" s="91"/>
      <c r="L354" s="91"/>
      <c r="M354" s="91"/>
      <c r="N354" s="91"/>
      <c r="O354" s="91"/>
      <c r="P354" s="91"/>
      <c r="Q354" s="91"/>
      <c r="R354" s="91"/>
      <c r="S354" s="91"/>
      <c r="T354" s="91"/>
    </row>
    <row r="355" spans="1:20" ht="15.75" thickTop="1">
      <c r="A355" s="91"/>
      <c r="B355" s="91"/>
      <c r="C355" s="91"/>
      <c r="D355" s="91"/>
      <c r="E355" s="91"/>
      <c r="F355" s="91"/>
      <c r="G355" s="91"/>
      <c r="H355" s="91"/>
      <c r="I355" s="91"/>
      <c r="J355" s="91"/>
      <c r="K355" s="91"/>
      <c r="L355" s="91"/>
      <c r="M355" s="91"/>
      <c r="N355" s="91"/>
      <c r="O355" s="91"/>
      <c r="P355" s="91"/>
      <c r="Q355" s="91"/>
      <c r="R355" s="91"/>
      <c r="S355" s="91"/>
      <c r="T355" s="91"/>
    </row>
    <row r="356" spans="1:20" ht="15">
      <c r="A356" s="91"/>
      <c r="B356" s="91"/>
      <c r="C356" s="91"/>
      <c r="D356" s="171" t="s">
        <v>258</v>
      </c>
      <c r="E356" s="216">
        <f>+E55</f>
        <v>0.0475</v>
      </c>
      <c r="F356" s="171"/>
      <c r="G356" s="171"/>
      <c r="H356" s="171"/>
      <c r="I356" s="171"/>
      <c r="J356" s="91"/>
      <c r="K356" s="91"/>
      <c r="L356" s="91"/>
      <c r="M356" s="91"/>
      <c r="N356" s="91"/>
      <c r="O356" s="91"/>
      <c r="P356" s="91"/>
      <c r="Q356" s="91"/>
      <c r="R356" s="91"/>
      <c r="S356" s="91"/>
      <c r="T356" s="91"/>
    </row>
    <row r="357" spans="1:20" ht="15">
      <c r="A357" s="91"/>
      <c r="B357" s="91"/>
      <c r="C357" s="91"/>
      <c r="D357" s="171" t="s">
        <v>259</v>
      </c>
      <c r="E357" s="216"/>
      <c r="F357" s="171"/>
      <c r="G357" s="171"/>
      <c r="H357" s="171"/>
      <c r="I357" s="171"/>
      <c r="J357" s="91"/>
      <c r="K357" s="91"/>
      <c r="L357" s="91"/>
      <c r="M357" s="91"/>
      <c r="N357" s="91"/>
      <c r="O357" s="91"/>
      <c r="P357" s="91"/>
      <c r="Q357" s="91"/>
      <c r="R357" s="91"/>
      <c r="S357" s="91"/>
      <c r="T357" s="91"/>
    </row>
    <row r="358" spans="1:20" ht="15">
      <c r="A358" s="91"/>
      <c r="B358" s="91"/>
      <c r="C358" s="91"/>
      <c r="D358" s="171" t="s">
        <v>260</v>
      </c>
      <c r="E358" s="216" t="s">
        <v>185</v>
      </c>
      <c r="F358" s="171">
        <v>4060</v>
      </c>
      <c r="G358" s="200">
        <v>40634</v>
      </c>
      <c r="H358" s="171">
        <f>+$F$63-G358+1</f>
        <v>366</v>
      </c>
      <c r="I358" s="171">
        <f>+F358*$E$356*H358/366</f>
        <v>192.84999999999997</v>
      </c>
      <c r="J358" s="91"/>
      <c r="K358" s="91"/>
      <c r="L358" s="91"/>
      <c r="M358" s="91"/>
      <c r="N358" s="91"/>
      <c r="O358" s="91"/>
      <c r="P358" s="91"/>
      <c r="Q358" s="91"/>
      <c r="R358" s="91"/>
      <c r="S358" s="91"/>
      <c r="T358" s="91"/>
    </row>
    <row r="359" spans="1:20" ht="15">
      <c r="A359" s="91"/>
      <c r="B359" s="91"/>
      <c r="C359" s="91"/>
      <c r="D359" s="171" t="s">
        <v>261</v>
      </c>
      <c r="E359" s="216" t="str">
        <f>+E358</f>
        <v>2008-09</v>
      </c>
      <c r="F359" s="171">
        <v>34208</v>
      </c>
      <c r="G359" s="200">
        <v>40634</v>
      </c>
      <c r="H359" s="171">
        <f>+$F$63-G359+1</f>
        <v>366</v>
      </c>
      <c r="I359" s="171">
        <f>+F359*$E$356*H359/366</f>
        <v>1624.88</v>
      </c>
      <c r="J359" s="91"/>
      <c r="K359" s="91"/>
      <c r="L359" s="91"/>
      <c r="M359" s="91"/>
      <c r="N359" s="91"/>
      <c r="O359" s="91"/>
      <c r="P359" s="91"/>
      <c r="Q359" s="91"/>
      <c r="R359" s="91"/>
      <c r="S359" s="91"/>
      <c r="T359" s="91"/>
    </row>
    <row r="360" spans="1:20" ht="15">
      <c r="A360" s="91"/>
      <c r="B360" s="91"/>
      <c r="C360" s="91"/>
      <c r="D360" s="171" t="s">
        <v>262</v>
      </c>
      <c r="E360" s="216" t="str">
        <f>+E359</f>
        <v>2008-09</v>
      </c>
      <c r="F360" s="171">
        <v>38720</v>
      </c>
      <c r="G360" s="200">
        <v>40634</v>
      </c>
      <c r="H360" s="171">
        <f>+$F$63-G360+1</f>
        <v>366</v>
      </c>
      <c r="I360" s="171">
        <f>+F360*$E$356*H360/366</f>
        <v>1839.2000000000003</v>
      </c>
      <c r="J360" s="91"/>
      <c r="K360" s="91"/>
      <c r="L360" s="91"/>
      <c r="M360" s="91"/>
      <c r="N360" s="91"/>
      <c r="O360" s="91"/>
      <c r="P360" s="91"/>
      <c r="Q360" s="91"/>
      <c r="R360" s="91"/>
      <c r="S360" s="91"/>
      <c r="T360" s="91"/>
    </row>
    <row r="361" spans="1:20" ht="15">
      <c r="A361" s="91"/>
      <c r="B361" s="91"/>
      <c r="C361" s="91"/>
      <c r="D361" s="171" t="s">
        <v>263</v>
      </c>
      <c r="E361" s="216" t="str">
        <f>+E359</f>
        <v>2008-09</v>
      </c>
      <c r="F361" s="171">
        <f>357120+109700+75544</f>
        <v>542364</v>
      </c>
      <c r="G361" s="200">
        <v>40634</v>
      </c>
      <c r="H361" s="171">
        <f>+$F$63-G361+1</f>
        <v>366</v>
      </c>
      <c r="I361" s="171">
        <f>+F361*$E$356*H361/366</f>
        <v>25762.29</v>
      </c>
      <c r="J361" s="91"/>
      <c r="K361" s="91"/>
      <c r="L361" s="91"/>
      <c r="M361" s="91"/>
      <c r="N361" s="91"/>
      <c r="O361" s="91"/>
      <c r="P361" s="91"/>
      <c r="Q361" s="91"/>
      <c r="R361" s="91"/>
      <c r="S361" s="91"/>
      <c r="T361" s="91"/>
    </row>
    <row r="362" spans="1:20" ht="15">
      <c r="A362" s="91"/>
      <c r="B362" s="91"/>
      <c r="C362" s="91"/>
      <c r="D362" s="171" t="s">
        <v>501</v>
      </c>
      <c r="E362" s="216" t="s">
        <v>183</v>
      </c>
      <c r="F362" s="171">
        <v>8824</v>
      </c>
      <c r="G362" s="200">
        <v>40634</v>
      </c>
      <c r="H362" s="171">
        <f>+$F$63-G362+1</f>
        <v>366</v>
      </c>
      <c r="I362" s="171">
        <f>+F362*$E$356*H362/366</f>
        <v>419.14</v>
      </c>
      <c r="J362" s="91"/>
      <c r="K362" s="91"/>
      <c r="L362" s="91"/>
      <c r="M362" s="91"/>
      <c r="N362" s="91"/>
      <c r="O362" s="91"/>
      <c r="P362" s="91"/>
      <c r="Q362" s="91"/>
      <c r="R362" s="91"/>
      <c r="S362" s="91"/>
      <c r="T362" s="91"/>
    </row>
    <row r="363" spans="1:20" ht="15.75" thickBot="1">
      <c r="A363" s="91"/>
      <c r="B363" s="91"/>
      <c r="C363" s="91"/>
      <c r="D363" s="171"/>
      <c r="E363" s="216"/>
      <c r="F363" s="181">
        <f>SUM(F358:F362)</f>
        <v>628176</v>
      </c>
      <c r="G363" s="171"/>
      <c r="H363" s="171"/>
      <c r="I363" s="181">
        <f>SUM(I358:I361)</f>
        <v>29419.22</v>
      </c>
      <c r="J363" s="91"/>
      <c r="K363" s="91"/>
      <c r="L363" s="91"/>
      <c r="M363" s="91"/>
      <c r="N363" s="91"/>
      <c r="O363" s="91"/>
      <c r="P363" s="91"/>
      <c r="Q363" s="91"/>
      <c r="R363" s="91"/>
      <c r="S363" s="91"/>
      <c r="T363" s="91"/>
    </row>
    <row r="364" spans="1:20" ht="15.75" thickTop="1">
      <c r="A364" s="91"/>
      <c r="B364" s="91"/>
      <c r="C364" s="91"/>
      <c r="D364" s="91" t="s">
        <v>78</v>
      </c>
      <c r="E364" s="91"/>
      <c r="F364" s="91"/>
      <c r="G364" s="91"/>
      <c r="H364" s="91"/>
      <c r="I364" s="91"/>
      <c r="J364" s="91"/>
      <c r="K364" s="91"/>
      <c r="L364" s="91"/>
      <c r="M364" s="91"/>
      <c r="N364" s="91"/>
      <c r="O364" s="91"/>
      <c r="P364" s="91"/>
      <c r="Q364" s="91"/>
      <c r="R364" s="91"/>
      <c r="S364" s="91"/>
      <c r="T364" s="91"/>
    </row>
    <row r="365" spans="1:20" ht="15">
      <c r="A365" s="91"/>
      <c r="B365" s="91"/>
      <c r="C365" s="91"/>
      <c r="D365" s="91" t="s">
        <v>501</v>
      </c>
      <c r="E365" s="167">
        <f>+E356</f>
        <v>0.0475</v>
      </c>
      <c r="F365" s="91">
        <v>23000</v>
      </c>
      <c r="G365" s="164">
        <v>40743</v>
      </c>
      <c r="H365" s="91">
        <f>+$F$63-G365</f>
        <v>256</v>
      </c>
      <c r="I365" s="91">
        <f>+ROUND(F365*E365*H365/366,0)</f>
        <v>764</v>
      </c>
      <c r="J365" s="91"/>
      <c r="K365" s="91">
        <f>+F365</f>
        <v>23000</v>
      </c>
      <c r="L365" s="91"/>
      <c r="M365" s="91"/>
      <c r="N365" s="91"/>
      <c r="O365" s="91"/>
      <c r="P365" s="91"/>
      <c r="Q365" s="91"/>
      <c r="R365" s="91"/>
      <c r="S365" s="91"/>
      <c r="T365" s="91"/>
    </row>
    <row r="366" spans="1:20" ht="15">
      <c r="A366" s="91"/>
      <c r="B366" s="91"/>
      <c r="C366" s="91"/>
      <c r="D366" s="91"/>
      <c r="E366" s="167"/>
      <c r="F366" s="91"/>
      <c r="G366" s="164"/>
      <c r="H366" s="91"/>
      <c r="I366" s="91"/>
      <c r="J366" s="91"/>
      <c r="K366" s="91"/>
      <c r="L366" s="91">
        <f>+F366</f>
        <v>0</v>
      </c>
      <c r="M366" s="91"/>
      <c r="N366" s="91"/>
      <c r="O366" s="91"/>
      <c r="P366" s="91"/>
      <c r="Q366" s="91"/>
      <c r="R366" s="91"/>
      <c r="S366" s="91"/>
      <c r="T366" s="91"/>
    </row>
    <row r="367" spans="1:20" ht="15">
      <c r="A367" s="91"/>
      <c r="B367" s="91"/>
      <c r="C367" s="91"/>
      <c r="D367" s="91"/>
      <c r="E367" s="167"/>
      <c r="F367" s="91"/>
      <c r="G367" s="91"/>
      <c r="H367" s="91"/>
      <c r="I367" s="91"/>
      <c r="J367" s="91"/>
      <c r="K367" s="91"/>
      <c r="L367" s="91"/>
      <c r="M367" s="91"/>
      <c r="N367" s="91"/>
      <c r="O367" s="91"/>
      <c r="P367" s="91"/>
      <c r="Q367" s="91"/>
      <c r="R367" s="91"/>
      <c r="S367" s="91"/>
      <c r="T367" s="91"/>
    </row>
    <row r="368" spans="1:20" ht="15.75" thickBot="1">
      <c r="A368" s="91"/>
      <c r="B368" s="91"/>
      <c r="C368" s="91"/>
      <c r="D368" s="91" t="s">
        <v>285</v>
      </c>
      <c r="E368" s="91"/>
      <c r="F368" s="177">
        <f>SUM(F365:F367)</f>
        <v>23000</v>
      </c>
      <c r="G368" s="91"/>
      <c r="H368" s="97"/>
      <c r="I368" s="177">
        <f>SUM(I365:I367)</f>
        <v>764</v>
      </c>
      <c r="J368" s="91"/>
      <c r="K368" s="174">
        <f>SUM(K365:K367)</f>
        <v>23000</v>
      </c>
      <c r="L368" s="174">
        <f>SUM(L365:L367)</f>
        <v>0</v>
      </c>
      <c r="M368" s="91"/>
      <c r="N368" s="91"/>
      <c r="O368" s="91"/>
      <c r="P368" s="91"/>
      <c r="Q368" s="91"/>
      <c r="R368" s="91"/>
      <c r="S368" s="91"/>
      <c r="T368" s="91"/>
    </row>
    <row r="369" spans="1:20" ht="15.75" thickTop="1">
      <c r="A369" s="91"/>
      <c r="B369" s="91"/>
      <c r="C369" s="91"/>
      <c r="D369" s="91"/>
      <c r="E369" s="91"/>
      <c r="F369" s="91"/>
      <c r="G369" s="91"/>
      <c r="H369" s="91"/>
      <c r="I369" s="91"/>
      <c r="J369" s="91"/>
      <c r="K369" s="91"/>
      <c r="L369" s="91"/>
      <c r="M369" s="91"/>
      <c r="N369" s="91"/>
      <c r="O369" s="91"/>
      <c r="P369" s="91"/>
      <c r="Q369" s="91"/>
      <c r="R369" s="91"/>
      <c r="S369" s="91"/>
      <c r="T369" s="91"/>
    </row>
    <row r="370" spans="1:20" ht="15">
      <c r="A370" s="91"/>
      <c r="B370" s="91"/>
      <c r="C370" s="91"/>
      <c r="D370" s="91"/>
      <c r="E370" s="91"/>
      <c r="F370" s="91">
        <f>+F363</f>
        <v>628176</v>
      </c>
      <c r="G370" s="171" t="s">
        <v>91</v>
      </c>
      <c r="H370" s="171"/>
      <c r="I370" s="176">
        <f>+I363</f>
        <v>29419.22</v>
      </c>
      <c r="J370" s="91"/>
      <c r="K370" s="91"/>
      <c r="L370" s="91"/>
      <c r="M370" s="91"/>
      <c r="N370" s="91"/>
      <c r="O370" s="91"/>
      <c r="P370" s="91"/>
      <c r="Q370" s="91"/>
      <c r="R370" s="91"/>
      <c r="S370" s="91"/>
      <c r="T370" s="91"/>
    </row>
    <row r="371" spans="1:20" ht="15">
      <c r="A371" s="91"/>
      <c r="B371" s="91"/>
      <c r="C371" s="91"/>
      <c r="D371" s="91"/>
      <c r="E371" s="91"/>
      <c r="F371" s="91">
        <f>+F368</f>
        <v>23000</v>
      </c>
      <c r="G371" s="91" t="s">
        <v>92</v>
      </c>
      <c r="H371" s="91"/>
      <c r="I371" s="37">
        <f>+I368</f>
        <v>764</v>
      </c>
      <c r="J371" s="91"/>
      <c r="K371" s="163">
        <f>+K368+K338+K324+K310+K306+K296+K238+K209+K191+K175+K158+K145+K121+K94+K82</f>
        <v>2143342</v>
      </c>
      <c r="L371" s="163">
        <f>+L368+L338+L324+L310+L306+L296+L238+L209+L191+L175+L158+L145+L121+L94+L82</f>
        <v>6324313</v>
      </c>
      <c r="M371" s="91"/>
      <c r="N371" s="91"/>
      <c r="O371" s="91"/>
      <c r="P371" s="91"/>
      <c r="Q371" s="91"/>
      <c r="R371" s="91"/>
      <c r="S371" s="91"/>
      <c r="T371" s="91"/>
    </row>
    <row r="372" spans="1:20" ht="15.75" thickBot="1">
      <c r="A372" s="91"/>
      <c r="B372" s="91"/>
      <c r="C372" s="218"/>
      <c r="D372" s="91"/>
      <c r="E372" s="91"/>
      <c r="F372" s="174">
        <f>SUM(F370:F371)</f>
        <v>651176</v>
      </c>
      <c r="G372" s="91" t="s">
        <v>285</v>
      </c>
      <c r="H372" s="91"/>
      <c r="I372" s="174">
        <f>SUM(I370:I371)</f>
        <v>30183.22</v>
      </c>
      <c r="J372" s="91" t="s">
        <v>264</v>
      </c>
      <c r="K372" s="144">
        <f>+E24</f>
        <v>0</v>
      </c>
      <c r="L372" s="91">
        <v>0</v>
      </c>
      <c r="M372" s="91"/>
      <c r="N372" s="91"/>
      <c r="O372" s="91"/>
      <c r="P372" s="91"/>
      <c r="Q372" s="91"/>
      <c r="R372" s="91"/>
      <c r="S372" s="91"/>
      <c r="T372" s="91"/>
    </row>
    <row r="373" spans="1:20" ht="15.75" thickTop="1">
      <c r="A373" s="91"/>
      <c r="B373" s="91"/>
      <c r="C373" s="91"/>
      <c r="D373" s="91"/>
      <c r="E373" s="91"/>
      <c r="F373" s="91"/>
      <c r="G373" s="91"/>
      <c r="H373" s="91"/>
      <c r="I373" s="91"/>
      <c r="J373" s="91" t="s">
        <v>265</v>
      </c>
      <c r="K373" s="163">
        <f>SUM(K371:K372)</f>
        <v>2143342</v>
      </c>
      <c r="L373" s="219">
        <f>SUM(L371:L372)</f>
        <v>6324313</v>
      </c>
      <c r="M373" s="91"/>
      <c r="N373" s="91"/>
      <c r="O373" s="91"/>
      <c r="P373" s="91"/>
      <c r="Q373" s="91"/>
      <c r="R373" s="91"/>
      <c r="S373" s="91"/>
      <c r="T373" s="91"/>
    </row>
    <row r="374" spans="1:20" ht="15">
      <c r="A374" s="91"/>
      <c r="B374" s="91"/>
      <c r="C374" s="91"/>
      <c r="D374" s="97"/>
      <c r="E374" s="91"/>
      <c r="F374" s="91"/>
      <c r="G374" s="91"/>
      <c r="H374" s="91"/>
      <c r="I374" s="91"/>
      <c r="J374" s="91"/>
      <c r="K374" s="91"/>
      <c r="L374" s="163">
        <f>+K373+L373</f>
        <v>8467655</v>
      </c>
      <c r="M374" s="91"/>
      <c r="N374" s="91"/>
      <c r="O374" s="91"/>
      <c r="P374" s="91"/>
      <c r="Q374" s="91"/>
      <c r="R374" s="91"/>
      <c r="S374" s="91"/>
      <c r="T374" s="91"/>
    </row>
    <row r="375" spans="1:20" ht="15">
      <c r="A375" s="91"/>
      <c r="B375" s="91"/>
      <c r="C375" s="91"/>
      <c r="D375" s="97" t="s">
        <v>266</v>
      </c>
      <c r="E375" s="182"/>
      <c r="F375" s="91">
        <f>+F84+F96+F123+F147+F160+F178+F193+F211+F240+F251+F264+F298+F312+F322+F341+F352+F370+F36</f>
        <v>154162589.25</v>
      </c>
      <c r="G375" s="91" t="s">
        <v>267</v>
      </c>
      <c r="H375" s="91"/>
      <c r="I375" s="154">
        <f>+I57</f>
        <v>10745684</v>
      </c>
      <c r="J375" s="91"/>
      <c r="K375" s="91"/>
      <c r="L375" s="163">
        <f>+L374-F381</f>
        <v>0</v>
      </c>
      <c r="M375" s="91"/>
      <c r="N375" s="91"/>
      <c r="O375" s="91"/>
      <c r="P375" s="91"/>
      <c r="Q375" s="91"/>
      <c r="R375" s="91"/>
      <c r="S375" s="91"/>
      <c r="T375" s="91"/>
    </row>
    <row r="376" spans="1:20" ht="15">
      <c r="A376" s="91"/>
      <c r="B376" s="91"/>
      <c r="C376" s="91"/>
      <c r="D376" s="97" t="s">
        <v>268</v>
      </c>
      <c r="E376" s="182"/>
      <c r="F376" s="91">
        <f>+F85+F97+F124+F148+F161+F179+F194+F212+F241+F252+F265+F299+F313+F323+F342+F353+F371</f>
        <v>8467655</v>
      </c>
      <c r="G376" s="91" t="s">
        <v>269</v>
      </c>
      <c r="H376" s="91"/>
      <c r="I376" s="154">
        <f>+M57</f>
        <v>197002.66866885245</v>
      </c>
      <c r="J376" s="91"/>
      <c r="K376" s="91"/>
      <c r="L376" s="91"/>
      <c r="M376" s="91"/>
      <c r="N376" s="91"/>
      <c r="O376" s="91"/>
      <c r="P376" s="91"/>
      <c r="Q376" s="91"/>
      <c r="R376" s="91"/>
      <c r="S376" s="91"/>
      <c r="T376" s="91"/>
    </row>
    <row r="377" spans="1:20" ht="15.75" thickBot="1">
      <c r="A377" s="91"/>
      <c r="B377" s="91"/>
      <c r="C377" s="91"/>
      <c r="D377" s="97"/>
      <c r="E377" s="182"/>
      <c r="F377" s="174">
        <f>SUM(F375:F376)</f>
        <v>162630244.25</v>
      </c>
      <c r="G377" s="91"/>
      <c r="H377" s="91"/>
      <c r="I377" s="91"/>
      <c r="J377" s="91"/>
      <c r="K377" s="91"/>
      <c r="L377" s="91"/>
      <c r="M377" s="91"/>
      <c r="N377" s="91"/>
      <c r="O377" s="91"/>
      <c r="P377" s="91"/>
      <c r="Q377" s="91"/>
      <c r="R377" s="91"/>
      <c r="S377" s="91"/>
      <c r="T377" s="91"/>
    </row>
    <row r="378" spans="1:20" ht="16.5" thickBot="1" thickTop="1">
      <c r="A378" s="91"/>
      <c r="B378" s="91"/>
      <c r="C378" s="91"/>
      <c r="D378" s="97"/>
      <c r="E378" s="182"/>
      <c r="F378" s="91">
        <f>+F57</f>
        <v>154214247</v>
      </c>
      <c r="G378" s="91"/>
      <c r="H378" s="91"/>
      <c r="I378" s="212">
        <f>SUM(I375:I377)</f>
        <v>10942686.668668853</v>
      </c>
      <c r="J378" s="91"/>
      <c r="K378" s="91"/>
      <c r="L378" s="91"/>
      <c r="M378" s="91"/>
      <c r="N378" s="91"/>
      <c r="O378" s="91"/>
      <c r="P378" s="91"/>
      <c r="Q378" s="91"/>
      <c r="R378" s="91"/>
      <c r="S378" s="91"/>
      <c r="T378" s="91"/>
    </row>
    <row r="379" spans="1:20" ht="15.75" thickTop="1">
      <c r="A379" s="91"/>
      <c r="B379" s="91"/>
      <c r="C379" s="91"/>
      <c r="D379" s="97"/>
      <c r="E379" s="182" t="s">
        <v>270</v>
      </c>
      <c r="F379" s="91">
        <f>+K57</f>
        <v>8467655</v>
      </c>
      <c r="G379" s="91"/>
      <c r="H379" s="91" t="s">
        <v>271</v>
      </c>
      <c r="I379" s="220">
        <f>+N57</f>
        <v>10942686.668668853</v>
      </c>
      <c r="J379" s="91"/>
      <c r="K379" s="91"/>
      <c r="L379" s="91"/>
      <c r="M379" s="91"/>
      <c r="N379" s="91"/>
      <c r="O379" s="91"/>
      <c r="P379" s="91"/>
      <c r="Q379" s="91"/>
      <c r="R379" s="91"/>
      <c r="S379" s="91"/>
      <c r="T379" s="91"/>
    </row>
    <row r="380" spans="1:20" ht="15">
      <c r="A380" s="91"/>
      <c r="B380" s="91"/>
      <c r="C380" s="91"/>
      <c r="D380" s="97"/>
      <c r="E380" s="182" t="s">
        <v>272</v>
      </c>
      <c r="F380" s="91">
        <f>+E24</f>
        <v>0</v>
      </c>
      <c r="G380" s="91"/>
      <c r="H380" s="91"/>
      <c r="I380" s="154">
        <f>+I379-I378</f>
        <v>0</v>
      </c>
      <c r="J380" s="91"/>
      <c r="K380" s="91"/>
      <c r="L380" s="91"/>
      <c r="M380" s="91"/>
      <c r="N380" s="91"/>
      <c r="O380" s="91"/>
      <c r="P380" s="91"/>
      <c r="Q380" s="91"/>
      <c r="R380" s="91"/>
      <c r="S380" s="91"/>
      <c r="T380" s="91"/>
    </row>
    <row r="381" spans="1:20" ht="15">
      <c r="A381" s="91"/>
      <c r="B381" s="91"/>
      <c r="C381" s="91"/>
      <c r="D381" s="97"/>
      <c r="E381" s="182" t="s">
        <v>273</v>
      </c>
      <c r="F381" s="91">
        <f>+F379+F380</f>
        <v>8467655</v>
      </c>
      <c r="G381" s="91"/>
      <c r="H381" s="91"/>
      <c r="I381" s="91"/>
      <c r="J381" s="91"/>
      <c r="K381" s="91"/>
      <c r="L381" s="91"/>
      <c r="M381" s="91"/>
      <c r="N381" s="91"/>
      <c r="O381" s="91"/>
      <c r="P381" s="91"/>
      <c r="Q381" s="91"/>
      <c r="R381" s="91"/>
      <c r="S381" s="91"/>
      <c r="T381" s="91"/>
    </row>
    <row r="382" spans="1:20" ht="15">
      <c r="A382" s="91"/>
      <c r="B382" s="91"/>
      <c r="C382" s="91"/>
      <c r="D382" s="97"/>
      <c r="E382" s="182"/>
      <c r="F382" s="91">
        <f>+F376-F379</f>
        <v>0</v>
      </c>
      <c r="G382" s="91"/>
      <c r="H382" s="91"/>
      <c r="I382" s="91"/>
      <c r="J382" s="91"/>
      <c r="K382" s="91"/>
      <c r="L382" s="91"/>
      <c r="M382" s="91"/>
      <c r="N382" s="91"/>
      <c r="O382" s="91"/>
      <c r="P382" s="91"/>
      <c r="Q382" s="91"/>
      <c r="R382" s="91"/>
      <c r="S382" s="91"/>
      <c r="T382" s="91"/>
    </row>
    <row r="383" spans="1:20" ht="15">
      <c r="A383" s="91"/>
      <c r="B383" s="91"/>
      <c r="C383" s="91"/>
      <c r="D383" s="97"/>
      <c r="E383" s="182"/>
      <c r="F383" s="91"/>
      <c r="G383" s="91"/>
      <c r="H383" s="91"/>
      <c r="I383" s="91"/>
      <c r="J383" s="91"/>
      <c r="K383" s="91"/>
      <c r="L383" s="91"/>
      <c r="M383" s="91"/>
      <c r="N383" s="91"/>
      <c r="O383" s="91"/>
      <c r="P383" s="91"/>
      <c r="Q383" s="91"/>
      <c r="R383" s="91"/>
      <c r="S383" s="91"/>
      <c r="T383" s="91"/>
    </row>
    <row r="384" spans="1:20" ht="15">
      <c r="A384" s="91"/>
      <c r="B384" s="91"/>
      <c r="C384" s="91"/>
      <c r="D384" s="97"/>
      <c r="E384" s="182"/>
      <c r="F384" s="91">
        <f>+F381-E25</f>
        <v>0</v>
      </c>
      <c r="G384" s="91"/>
      <c r="H384" s="91"/>
      <c r="I384" s="91"/>
      <c r="J384" s="91"/>
      <c r="K384" s="91"/>
      <c r="L384" s="91"/>
      <c r="M384" s="91"/>
      <c r="N384" s="91"/>
      <c r="O384" s="91"/>
      <c r="P384" s="91"/>
      <c r="Q384" s="91"/>
      <c r="R384" s="91"/>
      <c r="S384" s="91"/>
      <c r="T384" s="91"/>
    </row>
    <row r="385" spans="1:20" ht="15">
      <c r="A385" s="91"/>
      <c r="B385" s="91"/>
      <c r="C385" s="91"/>
      <c r="D385" s="97"/>
      <c r="E385" s="182"/>
      <c r="F385" s="91"/>
      <c r="G385" s="91"/>
      <c r="H385" s="91"/>
      <c r="I385" s="91"/>
      <c r="J385" s="91"/>
      <c r="K385" s="91"/>
      <c r="L385" s="91"/>
      <c r="M385" s="91"/>
      <c r="N385" s="91"/>
      <c r="O385" s="91"/>
      <c r="P385" s="91"/>
      <c r="Q385" s="91"/>
      <c r="R385" s="91"/>
      <c r="S385" s="91"/>
      <c r="T385" s="91"/>
    </row>
  </sheetData>
  <sheetProtection/>
  <mergeCells count="8">
    <mergeCell ref="A2:M2"/>
    <mergeCell ref="A3:M3"/>
    <mergeCell ref="A7:A8"/>
    <mergeCell ref="B7:B8"/>
    <mergeCell ref="C7:C8"/>
    <mergeCell ref="D7:G7"/>
    <mergeCell ref="H7:K7"/>
    <mergeCell ref="L7:M7"/>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B3:J61"/>
  <sheetViews>
    <sheetView zoomScalePageLayoutView="0" workbookViewId="0" topLeftCell="A22">
      <selection activeCell="C40" sqref="C40"/>
    </sheetView>
  </sheetViews>
  <sheetFormatPr defaultColWidth="9.140625" defaultRowHeight="12.75"/>
  <cols>
    <col min="1" max="1" width="9.140625" style="450" customWidth="1"/>
    <col min="2" max="2" width="8.140625" style="450" customWidth="1"/>
    <col min="3" max="3" width="32.7109375" style="450" customWidth="1"/>
    <col min="4" max="4" width="10.140625" style="450" customWidth="1"/>
    <col min="5" max="5" width="1.8515625" style="450" customWidth="1"/>
    <col min="6" max="6" width="27.421875" style="450" customWidth="1"/>
    <col min="7" max="7" width="13.8515625" style="450" customWidth="1"/>
    <col min="8" max="8" width="9.57421875" style="450" bestFit="1" customWidth="1"/>
    <col min="9" max="16384" width="9.140625" style="450" customWidth="1"/>
  </cols>
  <sheetData>
    <row r="1" ht="13.5"/>
    <row r="2" ht="14.25" thickBot="1"/>
    <row r="3" spans="2:7" s="270" customFormat="1" ht="15">
      <c r="B3" s="819" t="s">
        <v>0</v>
      </c>
      <c r="C3" s="820"/>
      <c r="D3" s="820"/>
      <c r="E3" s="820"/>
      <c r="F3" s="820"/>
      <c r="G3" s="821"/>
    </row>
    <row r="4" spans="2:7" s="270" customFormat="1" ht="13.5">
      <c r="B4" s="451"/>
      <c r="C4" s="452"/>
      <c r="D4" s="452"/>
      <c r="E4" s="452"/>
      <c r="F4" s="452"/>
      <c r="G4" s="453"/>
    </row>
    <row r="5" spans="2:7" s="270" customFormat="1" ht="15">
      <c r="B5" s="454" t="s">
        <v>1</v>
      </c>
      <c r="C5" s="452"/>
      <c r="D5" s="452"/>
      <c r="E5" s="452"/>
      <c r="F5" s="452"/>
      <c r="G5" s="453"/>
    </row>
    <row r="6" spans="2:7" s="270" customFormat="1" ht="13.5">
      <c r="B6" s="455" t="s">
        <v>2</v>
      </c>
      <c r="C6" s="452"/>
      <c r="D6" s="452"/>
      <c r="E6" s="452"/>
      <c r="F6" s="452"/>
      <c r="G6" s="453"/>
    </row>
    <row r="7" spans="2:7" s="270" customFormat="1" ht="13.5">
      <c r="B7" s="456"/>
      <c r="C7" s="457"/>
      <c r="D7" s="457"/>
      <c r="E7" s="457"/>
      <c r="F7" s="457"/>
      <c r="G7" s="458" t="s">
        <v>3</v>
      </c>
    </row>
    <row r="8" spans="2:7" s="270" customFormat="1" ht="15">
      <c r="B8" s="454">
        <v>1</v>
      </c>
      <c r="C8" s="459" t="s">
        <v>4</v>
      </c>
      <c r="D8" s="452"/>
      <c r="E8" s="452"/>
      <c r="F8" s="452"/>
      <c r="G8" s="453"/>
    </row>
    <row r="9" spans="2:7" s="270" customFormat="1" ht="15">
      <c r="B9" s="451"/>
      <c r="C9" s="452" t="s">
        <v>5</v>
      </c>
      <c r="D9" s="460" t="s">
        <v>6</v>
      </c>
      <c r="E9" s="452"/>
      <c r="F9" s="452" t="s">
        <v>7</v>
      </c>
      <c r="G9" s="461" t="s">
        <v>8</v>
      </c>
    </row>
    <row r="10" spans="2:7" s="270" customFormat="1" ht="15">
      <c r="B10" s="451"/>
      <c r="C10" s="452" t="s">
        <v>9</v>
      </c>
      <c r="D10" s="462" t="s">
        <v>58</v>
      </c>
      <c r="E10" s="452"/>
      <c r="F10" s="452"/>
      <c r="G10" s="453"/>
    </row>
    <row r="11" spans="2:7" s="270" customFormat="1" ht="3" customHeight="1">
      <c r="B11" s="451"/>
      <c r="C11" s="452"/>
      <c r="D11" s="463"/>
      <c r="E11" s="452"/>
      <c r="F11" s="452"/>
      <c r="G11" s="453"/>
    </row>
    <row r="12" spans="2:7" s="270" customFormat="1" ht="15">
      <c r="B12" s="464" t="s">
        <v>305</v>
      </c>
      <c r="C12" s="459" t="s">
        <v>10</v>
      </c>
      <c r="D12" s="452"/>
      <c r="E12" s="452"/>
      <c r="F12" s="452"/>
      <c r="G12" s="453"/>
    </row>
    <row r="13" spans="2:7" s="270" customFormat="1" ht="15">
      <c r="B13" s="451"/>
      <c r="C13" s="452" t="s">
        <v>11</v>
      </c>
      <c r="D13" s="465" t="s">
        <v>12</v>
      </c>
      <c r="E13" s="452"/>
      <c r="F13" s="452" t="s">
        <v>13</v>
      </c>
      <c r="G13" s="466" t="s">
        <v>12</v>
      </c>
    </row>
    <row r="14" spans="2:7" s="270" customFormat="1" ht="15">
      <c r="B14" s="451"/>
      <c r="C14" s="452" t="s">
        <v>14</v>
      </c>
      <c r="D14" s="465" t="s">
        <v>12</v>
      </c>
      <c r="E14" s="452"/>
      <c r="F14" s="452" t="s">
        <v>15</v>
      </c>
      <c r="G14" s="466" t="s">
        <v>12</v>
      </c>
    </row>
    <row r="15" spans="2:7" s="270" customFormat="1" ht="15">
      <c r="B15" s="451"/>
      <c r="C15" s="452" t="s">
        <v>16</v>
      </c>
      <c r="D15" s="465" t="s">
        <v>12</v>
      </c>
      <c r="E15" s="452"/>
      <c r="F15" s="452"/>
      <c r="G15" s="467"/>
    </row>
    <row r="16" spans="2:7" s="270" customFormat="1" ht="6" customHeight="1">
      <c r="B16" s="451"/>
      <c r="C16" s="452"/>
      <c r="D16" s="468"/>
      <c r="E16" s="452"/>
      <c r="F16" s="452"/>
      <c r="G16" s="467"/>
    </row>
    <row r="17" spans="2:7" s="270" customFormat="1" ht="15">
      <c r="B17" s="464" t="s">
        <v>306</v>
      </c>
      <c r="C17" s="459" t="s">
        <v>17</v>
      </c>
      <c r="D17" s="452"/>
      <c r="E17" s="452"/>
      <c r="F17" s="452"/>
      <c r="G17" s="453"/>
    </row>
    <row r="18" spans="2:7" s="270" customFormat="1" ht="15">
      <c r="B18" s="451"/>
      <c r="C18" s="452" t="s">
        <v>18</v>
      </c>
      <c r="D18" s="469">
        <v>203477</v>
      </c>
      <c r="E18" s="452"/>
      <c r="F18" s="452" t="s">
        <v>19</v>
      </c>
      <c r="G18" s="470">
        <v>203477.28</v>
      </c>
    </row>
    <row r="19" spans="2:7" s="270" customFormat="1" ht="5.25" customHeight="1">
      <c r="B19" s="451"/>
      <c r="C19" s="452"/>
      <c r="D19" s="452"/>
      <c r="E19" s="452"/>
      <c r="F19" s="452"/>
      <c r="G19" s="471"/>
    </row>
    <row r="20" spans="2:7" s="270" customFormat="1" ht="13.5">
      <c r="B20" s="451"/>
      <c r="C20" s="472" t="s">
        <v>20</v>
      </c>
      <c r="D20" s="452"/>
      <c r="E20" s="452"/>
      <c r="F20" s="472" t="s">
        <v>21</v>
      </c>
      <c r="G20" s="471"/>
    </row>
    <row r="21" spans="2:7" ht="13.5">
      <c r="B21" s="473"/>
      <c r="C21" s="474" t="s">
        <v>22</v>
      </c>
      <c r="D21" s="475">
        <v>105667.6</v>
      </c>
      <c r="E21" s="476"/>
      <c r="F21" s="474" t="s">
        <v>23</v>
      </c>
      <c r="G21" s="477">
        <v>57759.703</v>
      </c>
    </row>
    <row r="22" spans="2:10" ht="13.5">
      <c r="B22" s="473"/>
      <c r="C22" s="474" t="s">
        <v>16</v>
      </c>
      <c r="D22" s="478" t="s">
        <v>24</v>
      </c>
      <c r="E22" s="476"/>
      <c r="F22" s="474" t="s">
        <v>25</v>
      </c>
      <c r="G22" s="477">
        <v>0</v>
      </c>
      <c r="I22" s="452"/>
      <c r="J22" s="562"/>
    </row>
    <row r="23" spans="2:10" ht="13.5">
      <c r="B23" s="473"/>
      <c r="C23" s="474" t="s">
        <v>26</v>
      </c>
      <c r="D23" s="475">
        <v>1500</v>
      </c>
      <c r="E23" s="476"/>
      <c r="F23" s="474" t="s">
        <v>59</v>
      </c>
      <c r="G23" s="477">
        <v>98506.01</v>
      </c>
      <c r="I23" s="566"/>
      <c r="J23" s="270"/>
    </row>
    <row r="24" spans="2:7" ht="13.5">
      <c r="B24" s="473"/>
      <c r="C24" s="474" t="s">
        <v>27</v>
      </c>
      <c r="D24" s="475">
        <v>0</v>
      </c>
      <c r="E24" s="476"/>
      <c r="F24" s="474" t="s">
        <v>28</v>
      </c>
      <c r="G24" s="477">
        <v>47211.567</v>
      </c>
    </row>
    <row r="25" spans="2:7" ht="13.5">
      <c r="B25" s="473"/>
      <c r="C25" s="474" t="s">
        <v>29</v>
      </c>
      <c r="D25" s="475">
        <v>92363.992</v>
      </c>
      <c r="E25" s="476"/>
      <c r="F25" s="474" t="s">
        <v>30</v>
      </c>
      <c r="G25" s="477">
        <v>0</v>
      </c>
    </row>
    <row r="26" spans="2:7" ht="13.5">
      <c r="B26" s="473"/>
      <c r="C26" s="474" t="s">
        <v>31</v>
      </c>
      <c r="D26" s="475">
        <v>79779</v>
      </c>
      <c r="E26" s="476"/>
      <c r="F26" s="474"/>
      <c r="G26" s="471"/>
    </row>
    <row r="27" spans="2:7" ht="13.5">
      <c r="B27" s="451"/>
      <c r="C27" s="452" t="s">
        <v>32</v>
      </c>
      <c r="D27" s="479">
        <v>83724.794</v>
      </c>
      <c r="E27" s="476"/>
      <c r="F27" s="474"/>
      <c r="G27" s="471"/>
    </row>
    <row r="28" spans="2:7" ht="15">
      <c r="B28" s="464" t="s">
        <v>309</v>
      </c>
      <c r="C28" s="459" t="s">
        <v>33</v>
      </c>
      <c r="D28" s="476"/>
      <c r="E28" s="476"/>
      <c r="F28" s="476"/>
      <c r="G28" s="480"/>
    </row>
    <row r="29" spans="2:7" ht="13.5">
      <c r="B29" s="451"/>
      <c r="C29" s="452" t="s">
        <v>34</v>
      </c>
      <c r="D29" s="475">
        <v>185745.508</v>
      </c>
      <c r="E29" s="476"/>
      <c r="F29" s="452" t="s">
        <v>35</v>
      </c>
      <c r="G29" s="481">
        <v>152583.379</v>
      </c>
    </row>
    <row r="30" spans="2:10" ht="13.5">
      <c r="B30" s="451"/>
      <c r="C30" s="452"/>
      <c r="D30" s="476"/>
      <c r="E30" s="476"/>
      <c r="F30" s="452"/>
      <c r="G30" s="480"/>
      <c r="J30" s="565"/>
    </row>
    <row r="31" spans="2:7" ht="13.5">
      <c r="B31" s="451"/>
      <c r="C31" s="482" t="s">
        <v>36</v>
      </c>
      <c r="D31" s="483">
        <v>33162.129</v>
      </c>
      <c r="E31" s="484"/>
      <c r="F31" s="484" t="s">
        <v>37</v>
      </c>
      <c r="G31" s="485">
        <v>25073.272</v>
      </c>
    </row>
    <row r="32" spans="2:7" ht="13.5">
      <c r="B32" s="451"/>
      <c r="C32" s="482" t="s">
        <v>38</v>
      </c>
      <c r="D32" s="476"/>
      <c r="E32" s="476"/>
      <c r="F32" s="452"/>
      <c r="G32" s="486"/>
    </row>
    <row r="33" spans="2:8" ht="13.5">
      <c r="B33" s="451"/>
      <c r="C33" s="452" t="s">
        <v>39</v>
      </c>
      <c r="D33" s="487">
        <v>2.372843899170607</v>
      </c>
      <c r="E33" s="476"/>
      <c r="F33" s="452" t="s">
        <v>40</v>
      </c>
      <c r="G33" s="488" t="s">
        <v>41</v>
      </c>
      <c r="H33" s="489"/>
    </row>
    <row r="34" spans="2:8" ht="13.5">
      <c r="B34" s="451"/>
      <c r="C34" s="452" t="s">
        <v>42</v>
      </c>
      <c r="D34" s="490" t="s">
        <v>24</v>
      </c>
      <c r="E34" s="476"/>
      <c r="F34" s="452"/>
      <c r="G34" s="486"/>
      <c r="H34" s="489"/>
    </row>
    <row r="35" spans="2:7" ht="13.5">
      <c r="B35" s="451"/>
      <c r="C35" s="452"/>
      <c r="D35" s="476"/>
      <c r="E35" s="476"/>
      <c r="F35" s="452"/>
      <c r="G35" s="486"/>
    </row>
    <row r="36" spans="2:7" s="270" customFormat="1" ht="15">
      <c r="B36" s="464" t="s">
        <v>311</v>
      </c>
      <c r="C36" s="452" t="s">
        <v>43</v>
      </c>
      <c r="D36" s="452"/>
      <c r="E36" s="452"/>
      <c r="F36" s="452"/>
      <c r="G36" s="453"/>
    </row>
    <row r="37" spans="2:7" s="270" customFormat="1" ht="13.5">
      <c r="B37" s="451"/>
      <c r="C37" s="472" t="s">
        <v>44</v>
      </c>
      <c r="D37" s="452"/>
      <c r="E37" s="452"/>
      <c r="F37" s="452"/>
      <c r="G37" s="453"/>
    </row>
    <row r="38" spans="2:7" s="270" customFormat="1" ht="13.5">
      <c r="B38" s="451"/>
      <c r="C38" s="452" t="s">
        <v>45</v>
      </c>
      <c r="D38" s="452"/>
      <c r="E38" s="452"/>
      <c r="F38" s="472"/>
      <c r="G38" s="453"/>
    </row>
    <row r="39" spans="2:7" s="270" customFormat="1" ht="13.5">
      <c r="B39" s="451"/>
      <c r="C39" s="452" t="s">
        <v>46</v>
      </c>
      <c r="D39" s="452"/>
      <c r="E39" s="452"/>
      <c r="F39" s="452" t="s">
        <v>47</v>
      </c>
      <c r="G39" s="453"/>
    </row>
    <row r="40" spans="2:7" s="270" customFormat="1" ht="13.5">
      <c r="B40" s="451"/>
      <c r="C40" s="452"/>
      <c r="D40" s="452"/>
      <c r="E40" s="452"/>
      <c r="F40" s="452" t="s">
        <v>48</v>
      </c>
      <c r="G40" s="453"/>
    </row>
    <row r="41" spans="2:7" s="270" customFormat="1" ht="13.5">
      <c r="B41" s="456"/>
      <c r="C41" s="457"/>
      <c r="D41" s="457"/>
      <c r="E41" s="457"/>
      <c r="F41" s="457" t="s">
        <v>49</v>
      </c>
      <c r="G41" s="491"/>
    </row>
    <row r="42" spans="2:7" s="270" customFormat="1" ht="15">
      <c r="B42" s="492" t="s">
        <v>50</v>
      </c>
      <c r="C42" s="493"/>
      <c r="D42" s="452"/>
      <c r="E42" s="494" t="s">
        <v>51</v>
      </c>
      <c r="F42" s="495"/>
      <c r="G42" s="453"/>
    </row>
    <row r="43" spans="2:7" s="270" customFormat="1" ht="13.5">
      <c r="B43" s="492" t="s">
        <v>52</v>
      </c>
      <c r="C43" s="496"/>
      <c r="D43" s="452"/>
      <c r="E43" s="495"/>
      <c r="F43" s="495"/>
      <c r="G43" s="453"/>
    </row>
    <row r="44" spans="2:7" s="270" customFormat="1" ht="13.5">
      <c r="B44" s="492" t="s">
        <v>303</v>
      </c>
      <c r="C44" s="493"/>
      <c r="D44" s="452"/>
      <c r="E44" s="495"/>
      <c r="F44" s="495"/>
      <c r="G44" s="453"/>
    </row>
    <row r="45" spans="2:7" s="270" customFormat="1" ht="15">
      <c r="B45" s="492"/>
      <c r="C45" s="493"/>
      <c r="D45" s="459"/>
      <c r="E45" s="495"/>
      <c r="F45" s="495"/>
      <c r="G45" s="453"/>
    </row>
    <row r="46" spans="2:7" s="270" customFormat="1" ht="15">
      <c r="B46" s="833" t="s">
        <v>576</v>
      </c>
      <c r="C46" s="493"/>
      <c r="D46" s="452"/>
      <c r="E46" s="497" t="s">
        <v>576</v>
      </c>
      <c r="F46" s="543" t="s">
        <v>576</v>
      </c>
      <c r="G46" s="498"/>
    </row>
    <row r="47" spans="2:7" s="270" customFormat="1" ht="15">
      <c r="B47" s="499"/>
      <c r="C47" s="493"/>
      <c r="D47" s="494" t="s">
        <v>53</v>
      </c>
      <c r="E47" s="452"/>
      <c r="F47" s="452"/>
      <c r="G47" s="500"/>
    </row>
    <row r="48" spans="2:7" s="270" customFormat="1" ht="13.5">
      <c r="B48" s="492" t="s">
        <v>54</v>
      </c>
      <c r="C48" s="493"/>
      <c r="D48" s="495" t="s">
        <v>55</v>
      </c>
      <c r="E48" s="452"/>
      <c r="F48" s="452"/>
      <c r="G48" s="501"/>
    </row>
    <row r="49" spans="2:7" s="270" customFormat="1" ht="13.5">
      <c r="B49" s="492" t="s">
        <v>56</v>
      </c>
      <c r="C49" s="493"/>
      <c r="D49" s="452"/>
      <c r="E49" s="452"/>
      <c r="F49" s="452"/>
      <c r="G49" s="453"/>
    </row>
    <row r="50" spans="2:7" s="270" customFormat="1" ht="13.5">
      <c r="B50" s="492" t="s">
        <v>416</v>
      </c>
      <c r="C50" s="493"/>
      <c r="D50" s="452"/>
      <c r="E50" s="452"/>
      <c r="F50" s="452"/>
      <c r="G50" s="453"/>
    </row>
    <row r="51" spans="2:7" s="270" customFormat="1" ht="13.5">
      <c r="B51" s="502" t="s">
        <v>57</v>
      </c>
      <c r="C51" s="493"/>
      <c r="D51" s="452"/>
      <c r="E51" s="452"/>
      <c r="F51" s="452"/>
      <c r="G51" s="453"/>
    </row>
    <row r="52" spans="2:7" s="270" customFormat="1" ht="15.75" thickBot="1">
      <c r="B52" s="503" t="s">
        <v>574</v>
      </c>
      <c r="C52" s="567"/>
      <c r="D52" s="504"/>
      <c r="E52" s="504"/>
      <c r="F52" s="504"/>
      <c r="G52" s="505"/>
    </row>
    <row r="53" s="270" customFormat="1" ht="13.5"/>
    <row r="54" s="270" customFormat="1" ht="13.5"/>
    <row r="55" s="270" customFormat="1" ht="13.5"/>
    <row r="56" s="270" customFormat="1" ht="13.5"/>
    <row r="61" ht="13.5">
      <c r="H61" s="506"/>
    </row>
  </sheetData>
  <sheetProtection/>
  <printOptions/>
  <pageMargins left="0.95" right="0.92" top="1.15" bottom="0.75" header="1.14" footer="0.3"/>
  <pageSetup fitToHeight="1" fitToWidth="1" horizontalDpi="600" verticalDpi="600" orientation="portrait" scale="6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H49"/>
  <sheetViews>
    <sheetView zoomScalePageLayoutView="0" workbookViewId="0" topLeftCell="A1">
      <selection activeCell="B34" sqref="B34"/>
    </sheetView>
  </sheetViews>
  <sheetFormatPr defaultColWidth="9.140625" defaultRowHeight="12.75"/>
  <cols>
    <col min="1" max="1" width="3.28125" style="12" customWidth="1"/>
    <col min="2" max="2" width="47.28125" style="1" customWidth="1"/>
    <col min="3" max="3" width="6.57421875" style="1" customWidth="1"/>
    <col min="4" max="4" width="18.8515625" style="222" customWidth="1"/>
    <col min="5" max="5" width="19.28125" style="222" customWidth="1"/>
    <col min="6" max="6" width="16.140625" style="1" bestFit="1" customWidth="1"/>
    <col min="7" max="7" width="15.421875" style="1" customWidth="1"/>
    <col min="8" max="8" width="16.57421875" style="1" customWidth="1"/>
    <col min="9" max="39" width="9.8515625" style="1" customWidth="1"/>
    <col min="40" max="16384" width="9.140625" style="1" customWidth="1"/>
  </cols>
  <sheetData>
    <row r="1" ht="12.75"/>
    <row r="2" spans="2:5" ht="12.75">
      <c r="B2" s="783" t="s">
        <v>447</v>
      </c>
      <c r="C2" s="784"/>
      <c r="D2" s="784"/>
      <c r="E2" s="785"/>
    </row>
    <row r="3" spans="2:5" ht="12.75">
      <c r="B3" s="21"/>
      <c r="C3" s="16"/>
      <c r="D3" s="16"/>
      <c r="E3" s="430"/>
    </row>
    <row r="4" spans="2:5" ht="12.75">
      <c r="B4" s="52" t="s">
        <v>572</v>
      </c>
      <c r="C4" s="35"/>
      <c r="D4" s="35"/>
      <c r="E4" s="253"/>
    </row>
    <row r="5" spans="2:5" ht="12.75">
      <c r="B5" s="52"/>
      <c r="C5" s="35"/>
      <c r="D5" s="420"/>
      <c r="E5" s="412" t="s">
        <v>295</v>
      </c>
    </row>
    <row r="6" spans="2:5" s="34" customFormat="1" ht="39" thickBot="1">
      <c r="B6" s="571" t="s">
        <v>346</v>
      </c>
      <c r="C6" s="2" t="s">
        <v>279</v>
      </c>
      <c r="D6" s="2" t="s">
        <v>170</v>
      </c>
      <c r="E6" s="2" t="s">
        <v>534</v>
      </c>
    </row>
    <row r="7" spans="2:5" ht="21.75" customHeight="1" thickTop="1">
      <c r="B7" s="324" t="s">
        <v>280</v>
      </c>
      <c r="C7" s="26"/>
      <c r="D7" s="421"/>
      <c r="E7" s="413"/>
    </row>
    <row r="8" spans="2:5" ht="14.25" customHeight="1">
      <c r="B8" s="325" t="s">
        <v>283</v>
      </c>
      <c r="C8" s="26"/>
      <c r="D8" s="421"/>
      <c r="E8" s="413"/>
    </row>
    <row r="9" spans="2:5" ht="14.25" customHeight="1" hidden="1">
      <c r="B9" s="326" t="s">
        <v>281</v>
      </c>
      <c r="C9" s="26" t="s">
        <v>393</v>
      </c>
      <c r="D9" s="421"/>
      <c r="E9" s="414" t="e">
        <v>#REF!</v>
      </c>
    </row>
    <row r="10" spans="2:5" ht="14.25" customHeight="1">
      <c r="B10" s="33" t="s">
        <v>467</v>
      </c>
      <c r="C10" s="26" t="s">
        <v>393</v>
      </c>
      <c r="D10" s="421">
        <v>105667600</v>
      </c>
      <c r="E10" s="421">
        <v>101669000</v>
      </c>
    </row>
    <row r="11" spans="2:6" ht="14.25" customHeight="1">
      <c r="B11" s="326" t="s">
        <v>282</v>
      </c>
      <c r="C11" s="26" t="s">
        <v>394</v>
      </c>
      <c r="D11" s="421">
        <v>-200281906</v>
      </c>
      <c r="E11" s="421">
        <v>-164353778</v>
      </c>
      <c r="F11" s="223"/>
    </row>
    <row r="12" spans="2:5" ht="15.75" customHeight="1">
      <c r="B12" s="325"/>
      <c r="C12" s="26"/>
      <c r="D12" s="421"/>
      <c r="E12" s="421"/>
    </row>
    <row r="13" spans="2:5" ht="14.25" customHeight="1">
      <c r="B13" s="325" t="s">
        <v>506</v>
      </c>
      <c r="C13" s="26"/>
      <c r="D13" s="421"/>
      <c r="E13" s="421"/>
    </row>
    <row r="14" spans="2:5" ht="14.25" customHeight="1">
      <c r="B14" s="326" t="s">
        <v>284</v>
      </c>
      <c r="C14" s="26" t="s">
        <v>395</v>
      </c>
      <c r="D14" s="421">
        <v>92363992</v>
      </c>
      <c r="E14" s="421">
        <v>157363992</v>
      </c>
    </row>
    <row r="15" spans="2:5" ht="14.25" customHeight="1">
      <c r="B15" s="326"/>
      <c r="C15" s="26"/>
      <c r="D15" s="421"/>
      <c r="E15" s="421"/>
    </row>
    <row r="16" spans="2:5" ht="14.25" customHeight="1">
      <c r="B16" s="325" t="s">
        <v>507</v>
      </c>
      <c r="C16" s="26"/>
      <c r="D16" s="421"/>
      <c r="E16" s="421"/>
    </row>
    <row r="17" spans="2:5" ht="14.25" customHeight="1">
      <c r="B17" s="326" t="s">
        <v>452</v>
      </c>
      <c r="C17" s="26" t="s">
        <v>396</v>
      </c>
      <c r="D17" s="421">
        <v>8481403</v>
      </c>
      <c r="E17" s="421">
        <v>6021996</v>
      </c>
    </row>
    <row r="18" spans="2:5" ht="14.25" customHeight="1">
      <c r="B18" s="326" t="s">
        <v>453</v>
      </c>
      <c r="C18" s="26" t="s">
        <v>397</v>
      </c>
      <c r="D18" s="421">
        <v>66512663</v>
      </c>
      <c r="E18" s="421">
        <v>68178358</v>
      </c>
    </row>
    <row r="19" spans="2:6" ht="14.25" customHeight="1">
      <c r="B19" s="326" t="s">
        <v>454</v>
      </c>
      <c r="C19" s="26" t="s">
        <v>398</v>
      </c>
      <c r="D19" s="421">
        <v>8730728</v>
      </c>
      <c r="E19" s="421">
        <v>6756685</v>
      </c>
      <c r="F19" s="223"/>
    </row>
    <row r="20" spans="2:7" ht="14.25" customHeight="1" thickBot="1">
      <c r="B20" s="327" t="s">
        <v>285</v>
      </c>
      <c r="C20" s="26"/>
      <c r="D20" s="75">
        <v>81474480</v>
      </c>
      <c r="E20" s="75">
        <v>175636253</v>
      </c>
      <c r="F20" s="223"/>
      <c r="G20" s="223"/>
    </row>
    <row r="21" spans="2:5" ht="14.25" customHeight="1" thickTop="1">
      <c r="B21" s="324" t="s">
        <v>324</v>
      </c>
      <c r="C21" s="26"/>
      <c r="D21" s="421"/>
      <c r="E21" s="415"/>
    </row>
    <row r="22" spans="2:5" ht="14.25" customHeight="1">
      <c r="B22" s="325" t="s">
        <v>286</v>
      </c>
      <c r="C22" s="26"/>
      <c r="D22" s="421"/>
      <c r="E22" s="413"/>
    </row>
    <row r="23" spans="2:8" ht="14.25" customHeight="1">
      <c r="B23" s="326" t="s">
        <v>287</v>
      </c>
      <c r="C23" s="26" t="s">
        <v>399</v>
      </c>
      <c r="D23" s="421"/>
      <c r="E23" s="33"/>
      <c r="G23" s="223"/>
      <c r="H23" s="223"/>
    </row>
    <row r="24" spans="2:6" ht="14.25" customHeight="1">
      <c r="B24" s="328" t="s">
        <v>502</v>
      </c>
      <c r="C24" s="26"/>
      <c r="D24" s="421">
        <v>57759703</v>
      </c>
      <c r="E24" s="421">
        <v>46738319</v>
      </c>
      <c r="F24" s="223"/>
    </row>
    <row r="25" spans="2:6" ht="14.25" customHeight="1">
      <c r="B25" s="328" t="s">
        <v>444</v>
      </c>
      <c r="C25" s="26"/>
      <c r="D25" s="421">
        <v>47211567</v>
      </c>
      <c r="E25" s="414">
        <v>55300424</v>
      </c>
      <c r="F25" s="223"/>
    </row>
    <row r="26" spans="2:6" ht="17.25" customHeight="1">
      <c r="B26" s="326" t="s">
        <v>455</v>
      </c>
      <c r="C26" s="26" t="s">
        <v>374</v>
      </c>
      <c r="D26" s="421">
        <v>2051053</v>
      </c>
      <c r="E26" s="421">
        <v>2790588</v>
      </c>
      <c r="F26" s="223"/>
    </row>
    <row r="27" spans="2:8" ht="12" customHeight="1">
      <c r="B27" s="328"/>
      <c r="C27" s="26"/>
      <c r="D27" s="421"/>
      <c r="E27" s="421"/>
      <c r="F27" s="223"/>
      <c r="G27" s="223"/>
      <c r="H27" s="223"/>
    </row>
    <row r="28" spans="2:8" ht="18" customHeight="1">
      <c r="B28" s="325" t="s">
        <v>288</v>
      </c>
      <c r="C28" s="26"/>
      <c r="D28" s="421"/>
      <c r="E28" s="421"/>
      <c r="H28" s="223"/>
    </row>
    <row r="29" spans="2:6" ht="14.25" customHeight="1">
      <c r="B29" s="326" t="s">
        <v>468</v>
      </c>
      <c r="C29" s="26" t="s">
        <v>505</v>
      </c>
      <c r="D29" s="421">
        <v>56316066</v>
      </c>
      <c r="E29" s="421">
        <v>44360771</v>
      </c>
      <c r="F29" s="223"/>
    </row>
    <row r="30" spans="2:5" ht="14.25" customHeight="1">
      <c r="B30" s="326" t="s">
        <v>469</v>
      </c>
      <c r="C30" s="26" t="s">
        <v>400</v>
      </c>
      <c r="D30" s="421">
        <v>32186558</v>
      </c>
      <c r="E30" s="421">
        <v>18873805</v>
      </c>
    </row>
    <row r="31" spans="2:5" ht="14.25" customHeight="1">
      <c r="B31" s="326" t="s">
        <v>503</v>
      </c>
      <c r="C31" s="26" t="s">
        <v>401</v>
      </c>
      <c r="D31" s="421">
        <v>118324</v>
      </c>
      <c r="E31" s="421">
        <v>4155484</v>
      </c>
    </row>
    <row r="32" spans="2:5" ht="14.25" customHeight="1">
      <c r="B32" s="326" t="s">
        <v>504</v>
      </c>
      <c r="C32" s="26" t="s">
        <v>402</v>
      </c>
      <c r="D32" s="421">
        <v>7834009</v>
      </c>
      <c r="E32" s="421">
        <v>3416862</v>
      </c>
    </row>
    <row r="33" spans="2:8" ht="14.25" customHeight="1">
      <c r="B33" s="326"/>
      <c r="C33" s="26"/>
      <c r="D33" s="421"/>
      <c r="E33" s="743"/>
      <c r="F33" s="223"/>
      <c r="H33" s="223"/>
    </row>
    <row r="34" spans="2:7" ht="14.25" customHeight="1" thickBot="1">
      <c r="B34" s="327" t="s">
        <v>285</v>
      </c>
      <c r="C34" s="26"/>
      <c r="D34" s="75">
        <v>203477280</v>
      </c>
      <c r="E34" s="75">
        <v>175636253</v>
      </c>
      <c r="F34" s="223"/>
      <c r="G34" s="223"/>
    </row>
    <row r="35" spans="2:5" ht="21" customHeight="1" thickTop="1">
      <c r="B35" s="329" t="s">
        <v>296</v>
      </c>
      <c r="C35" s="39" t="s">
        <v>533</v>
      </c>
      <c r="D35" s="422"/>
      <c r="E35" s="416"/>
    </row>
    <row r="36" spans="2:7" ht="14.25" customHeight="1">
      <c r="B36" s="7" t="s">
        <v>459</v>
      </c>
      <c r="C36" s="8"/>
      <c r="D36" s="423"/>
      <c r="E36" s="656"/>
      <c r="F36" s="268"/>
      <c r="G36" s="268"/>
    </row>
    <row r="37" spans="2:7" ht="12" customHeight="1">
      <c r="B37" s="53"/>
      <c r="C37" s="54"/>
      <c r="D37" s="15"/>
      <c r="E37" s="657"/>
      <c r="F37" s="227"/>
      <c r="G37" s="227"/>
    </row>
    <row r="38" spans="2:6" ht="12.75">
      <c r="B38" s="13"/>
      <c r="C38" s="4"/>
      <c r="D38" s="15"/>
      <c r="E38" s="657"/>
      <c r="F38" s="223"/>
    </row>
    <row r="39" spans="2:5" ht="12.75">
      <c r="B39" s="55" t="s">
        <v>297</v>
      </c>
      <c r="C39" s="569" t="s">
        <v>298</v>
      </c>
      <c r="D39" s="569"/>
      <c r="E39" s="786"/>
    </row>
    <row r="40" spans="2:5" ht="12.75">
      <c r="B40" s="9" t="s">
        <v>303</v>
      </c>
      <c r="C40" s="4"/>
      <c r="D40" s="15"/>
      <c r="E40" s="657"/>
    </row>
    <row r="41" spans="2:5" ht="12.75">
      <c r="B41" s="9" t="s">
        <v>301</v>
      </c>
      <c r="C41" s="4"/>
      <c r="D41" s="15"/>
      <c r="E41" s="657"/>
    </row>
    <row r="42" spans="2:5" ht="12.75">
      <c r="B42" s="9"/>
      <c r="C42" s="4"/>
      <c r="D42" s="15"/>
      <c r="E42" s="657"/>
    </row>
    <row r="43" spans="2:5" ht="12.75">
      <c r="B43" s="9" t="s">
        <v>575</v>
      </c>
      <c r="C43" s="4"/>
      <c r="D43" s="15" t="s">
        <v>576</v>
      </c>
      <c r="E43" s="657" t="s">
        <v>576</v>
      </c>
    </row>
    <row r="44" spans="2:5" ht="14.25" customHeight="1">
      <c r="B44" s="55" t="s">
        <v>415</v>
      </c>
      <c r="C44" s="57" t="s">
        <v>471</v>
      </c>
      <c r="D44" s="424"/>
      <c r="E44" s="658"/>
    </row>
    <row r="45" spans="2:5" ht="12.75">
      <c r="B45" s="56" t="s">
        <v>299</v>
      </c>
      <c r="C45" s="57" t="s">
        <v>470</v>
      </c>
      <c r="D45" s="424"/>
      <c r="E45" s="658"/>
    </row>
    <row r="46" spans="2:5" ht="12" customHeight="1">
      <c r="B46" s="9" t="s">
        <v>416</v>
      </c>
      <c r="C46" s="4"/>
      <c r="D46" s="15"/>
      <c r="E46" s="657"/>
    </row>
    <row r="47" spans="2:5" ht="12.75">
      <c r="B47" s="55"/>
      <c r="C47" s="4"/>
      <c r="D47" s="15"/>
      <c r="E47" s="657"/>
    </row>
    <row r="48" spans="2:5" ht="12.75">
      <c r="B48" s="9" t="s">
        <v>574</v>
      </c>
      <c r="C48" s="4"/>
      <c r="D48" s="15"/>
      <c r="E48" s="657"/>
    </row>
    <row r="49" spans="2:5" ht="12.75">
      <c r="B49" s="58" t="s">
        <v>300</v>
      </c>
      <c r="C49" s="6"/>
      <c r="D49" s="425"/>
      <c r="E49" s="659"/>
    </row>
  </sheetData>
  <sheetProtection/>
  <printOptions/>
  <pageMargins left="1.02" right="1.04" top="1.03" bottom="0.75" header="0.95" footer="0.3"/>
  <pageSetup fitToHeight="1" fitToWidth="1" horizontalDpi="600" verticalDpi="600" orientation="portrait" scale="58"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K43"/>
  <sheetViews>
    <sheetView zoomScaleSheetLayoutView="100" zoomScalePageLayoutView="0" workbookViewId="0" topLeftCell="A1">
      <selection activeCell="C31" sqref="C31"/>
    </sheetView>
  </sheetViews>
  <sheetFormatPr defaultColWidth="9.140625" defaultRowHeight="12.75"/>
  <cols>
    <col min="1" max="1" width="4.57421875" style="1" customWidth="1"/>
    <col min="2" max="2" width="4.57421875" style="12" customWidth="1"/>
    <col min="3" max="3" width="43.57421875" style="1" customWidth="1"/>
    <col min="4" max="4" width="8.7109375" style="1" customWidth="1"/>
    <col min="5" max="5" width="17.7109375" style="1" customWidth="1"/>
    <col min="6" max="6" width="17.00390625" style="1" customWidth="1"/>
    <col min="7" max="7" width="14.8515625" style="1" hidden="1" customWidth="1"/>
    <col min="8" max="8" width="4.7109375" style="1" hidden="1" customWidth="1"/>
    <col min="9" max="9" width="15.28125" style="1" bestFit="1" customWidth="1"/>
    <col min="10" max="10" width="15.28125" style="1" customWidth="1"/>
    <col min="11" max="11" width="15.421875" style="1" customWidth="1"/>
    <col min="12" max="16384" width="9.140625" style="1" customWidth="1"/>
  </cols>
  <sheetData>
    <row r="1" ht="12.75"/>
    <row r="2" spans="2:8" ht="12.75">
      <c r="B2" s="783" t="s">
        <v>447</v>
      </c>
      <c r="C2" s="784"/>
      <c r="D2" s="784"/>
      <c r="E2" s="784"/>
      <c r="F2" s="785"/>
      <c r="G2" s="594"/>
      <c r="H2" s="595"/>
    </row>
    <row r="3" spans="2:8" ht="12.75">
      <c r="B3" s="63"/>
      <c r="C3" s="11"/>
      <c r="D3" s="11"/>
      <c r="E3" s="11"/>
      <c r="F3" s="232"/>
      <c r="G3" s="11"/>
      <c r="H3" s="232"/>
    </row>
    <row r="4" spans="2:8" ht="12.75">
      <c r="B4" s="21" t="s">
        <v>229</v>
      </c>
      <c r="C4" s="16"/>
      <c r="D4" s="16"/>
      <c r="E4" s="16"/>
      <c r="F4" s="430"/>
      <c r="G4" s="54"/>
      <c r="H4" s="596"/>
    </row>
    <row r="5" spans="2:7" ht="12.75">
      <c r="B5" s="19"/>
      <c r="C5" s="6"/>
      <c r="D5" s="597"/>
      <c r="E5" s="597"/>
      <c r="F5" s="253" t="s">
        <v>295</v>
      </c>
      <c r="G5" s="391"/>
    </row>
    <row r="6" spans="2:8" s="34" customFormat="1" ht="48.75" customHeight="1">
      <c r="B6" s="592" t="s">
        <v>346</v>
      </c>
      <c r="C6" s="787"/>
      <c r="D6" s="592" t="s">
        <v>279</v>
      </c>
      <c r="E6" s="593" t="s">
        <v>540</v>
      </c>
      <c r="F6" s="593" t="s">
        <v>541</v>
      </c>
      <c r="G6" s="593" t="s">
        <v>222</v>
      </c>
      <c r="H6" s="593" t="s">
        <v>228</v>
      </c>
    </row>
    <row r="7" spans="2:8" ht="13.5" customHeight="1">
      <c r="B7" s="26"/>
      <c r="C7" s="33"/>
      <c r="D7" s="21"/>
      <c r="E7" s="26"/>
      <c r="F7" s="25"/>
      <c r="G7" s="26"/>
      <c r="H7" s="25"/>
    </row>
    <row r="8" spans="2:8" ht="16.5" customHeight="1">
      <c r="B8" s="250" t="s">
        <v>304</v>
      </c>
      <c r="C8" s="28" t="s">
        <v>307</v>
      </c>
      <c r="D8" s="21" t="s">
        <v>381</v>
      </c>
      <c r="E8" s="263">
        <v>180565537</v>
      </c>
      <c r="F8" s="263">
        <v>126272022</v>
      </c>
      <c r="G8" s="435">
        <v>124231449.8</v>
      </c>
      <c r="H8" s="263">
        <f>+E8-G8</f>
        <v>56334087.2</v>
      </c>
    </row>
    <row r="9" spans="2:8" ht="16.5" customHeight="1">
      <c r="B9" s="250" t="s">
        <v>305</v>
      </c>
      <c r="C9" s="28" t="s">
        <v>308</v>
      </c>
      <c r="D9" s="21" t="s">
        <v>380</v>
      </c>
      <c r="E9" s="264">
        <v>5179971</v>
      </c>
      <c r="F9" s="264">
        <v>7777024</v>
      </c>
      <c r="G9" s="435">
        <f>10066516.8-6306712</f>
        <v>3759804.8000000007</v>
      </c>
      <c r="H9" s="264">
        <f>+E9-G9</f>
        <v>1420166.1999999993</v>
      </c>
    </row>
    <row r="10" spans="2:8" ht="24" customHeight="1">
      <c r="B10" s="250" t="s">
        <v>306</v>
      </c>
      <c r="C10" s="31" t="s">
        <v>515</v>
      </c>
      <c r="D10" s="21"/>
      <c r="E10" s="265">
        <v>185745508</v>
      </c>
      <c r="F10" s="265">
        <v>134049046</v>
      </c>
      <c r="G10" s="436">
        <v>134297920.6</v>
      </c>
      <c r="H10" s="265">
        <f>+H8+H9</f>
        <v>57754253.400000006</v>
      </c>
    </row>
    <row r="11" spans="2:10" ht="16.5" customHeight="1">
      <c r="B11" s="250" t="s">
        <v>309</v>
      </c>
      <c r="C11" s="32" t="s">
        <v>310</v>
      </c>
      <c r="D11" s="21"/>
      <c r="E11" s="697"/>
      <c r="F11" s="264"/>
      <c r="G11" s="26"/>
      <c r="H11" s="264"/>
      <c r="I11" s="223"/>
      <c r="J11" s="223"/>
    </row>
    <row r="12" spans="2:9" ht="16.5" customHeight="1">
      <c r="B12" s="250"/>
      <c r="C12" s="28" t="s">
        <v>289</v>
      </c>
      <c r="D12" s="21" t="s">
        <v>379</v>
      </c>
      <c r="E12" s="264">
        <v>76706122</v>
      </c>
      <c r="F12" s="264">
        <v>47895270</v>
      </c>
      <c r="G12" s="435">
        <f>65084327.49-6306712</f>
        <v>58777615.49</v>
      </c>
      <c r="H12" s="263">
        <f aca="true" t="shared" si="0" ref="H12:H17">+E12-G12</f>
        <v>17928506.509999998</v>
      </c>
      <c r="I12" s="227"/>
    </row>
    <row r="13" spans="2:9" ht="16.5" customHeight="1">
      <c r="B13" s="250"/>
      <c r="C13" s="28" t="s">
        <v>354</v>
      </c>
      <c r="D13" s="231" t="s">
        <v>413</v>
      </c>
      <c r="E13" s="264">
        <v>598560</v>
      </c>
      <c r="F13" s="264">
        <v>1761979</v>
      </c>
      <c r="G13" s="435">
        <v>598560</v>
      </c>
      <c r="H13" s="264">
        <f t="shared" si="0"/>
        <v>0</v>
      </c>
      <c r="I13" s="227"/>
    </row>
    <row r="14" spans="2:8" ht="15.75" customHeight="1">
      <c r="B14" s="250"/>
      <c r="C14" s="30" t="s">
        <v>510</v>
      </c>
      <c r="D14" s="16" t="s">
        <v>378</v>
      </c>
      <c r="E14" s="264">
        <v>-15232470</v>
      </c>
      <c r="F14" s="264">
        <v>-7730035</v>
      </c>
      <c r="G14" s="435">
        <v>-20740987.329890747</v>
      </c>
      <c r="H14" s="264">
        <f t="shared" si="0"/>
        <v>5508517.329890747</v>
      </c>
    </row>
    <row r="15" spans="2:8" ht="16.5" customHeight="1">
      <c r="B15" s="250"/>
      <c r="C15" s="28" t="s">
        <v>347</v>
      </c>
      <c r="D15" s="16" t="s">
        <v>355</v>
      </c>
      <c r="E15" s="264">
        <v>23335800</v>
      </c>
      <c r="F15" s="264">
        <v>20829148</v>
      </c>
      <c r="G15" s="435">
        <v>16534692</v>
      </c>
      <c r="H15" s="263">
        <f t="shared" si="0"/>
        <v>6801108</v>
      </c>
    </row>
    <row r="16" spans="2:8" ht="16.5" customHeight="1">
      <c r="B16" s="250"/>
      <c r="C16" s="28" t="s">
        <v>290</v>
      </c>
      <c r="D16" s="361" t="s">
        <v>399</v>
      </c>
      <c r="E16" s="264">
        <v>7606047</v>
      </c>
      <c r="F16" s="264">
        <v>7680205</v>
      </c>
      <c r="G16" s="435">
        <v>5661314.099146416</v>
      </c>
      <c r="H16" s="263">
        <f>+E16-G16</f>
        <v>1944732.9008535836</v>
      </c>
    </row>
    <row r="17" spans="2:8" ht="16.5" customHeight="1">
      <c r="B17" s="250"/>
      <c r="C17" s="28" t="s">
        <v>291</v>
      </c>
      <c r="D17" s="361" t="s">
        <v>356</v>
      </c>
      <c r="E17" s="264">
        <v>58414949</v>
      </c>
      <c r="F17" s="264">
        <v>45095107</v>
      </c>
      <c r="G17" s="435">
        <v>41902036.970000006</v>
      </c>
      <c r="H17" s="263">
        <f t="shared" si="0"/>
        <v>16512912.029999994</v>
      </c>
    </row>
    <row r="18" spans="2:8" ht="16.5" customHeight="1">
      <c r="B18" s="250" t="s">
        <v>311</v>
      </c>
      <c r="C18" s="31" t="s">
        <v>514</v>
      </c>
      <c r="D18" s="21"/>
      <c r="E18" s="265">
        <v>151429008</v>
      </c>
      <c r="F18" s="265">
        <v>115531674</v>
      </c>
      <c r="G18" s="436">
        <v>109039943.22925568</v>
      </c>
      <c r="H18" s="279">
        <f>SUM(H12:H17)</f>
        <v>48695776.770744324</v>
      </c>
    </row>
    <row r="19" spans="2:10" ht="16.5" customHeight="1">
      <c r="B19" s="250" t="s">
        <v>312</v>
      </c>
      <c r="C19" s="260" t="s">
        <v>511</v>
      </c>
      <c r="D19" s="21"/>
      <c r="E19" s="362">
        <v>34316500</v>
      </c>
      <c r="F19" s="362">
        <v>18517372</v>
      </c>
      <c r="G19" s="362">
        <v>25257977.370744318</v>
      </c>
      <c r="H19" s="263">
        <f>+H10-H18</f>
        <v>9058476.629255682</v>
      </c>
      <c r="I19" s="223"/>
      <c r="J19" s="223"/>
    </row>
    <row r="20" spans="2:8" ht="16.5" customHeight="1">
      <c r="B20" s="250" t="s">
        <v>313</v>
      </c>
      <c r="C20" s="260" t="s">
        <v>512</v>
      </c>
      <c r="D20" s="21"/>
      <c r="E20" s="421">
        <v>1154371</v>
      </c>
      <c r="F20" s="264">
        <v>1213584</v>
      </c>
      <c r="G20" s="438">
        <v>0</v>
      </c>
      <c r="H20" s="263">
        <f>+E20-G20</f>
        <v>1154371</v>
      </c>
    </row>
    <row r="21" spans="2:8" ht="16.5" customHeight="1">
      <c r="B21" s="250" t="s">
        <v>314</v>
      </c>
      <c r="C21" s="28" t="s">
        <v>474</v>
      </c>
      <c r="D21" s="234"/>
      <c r="E21" s="321">
        <v>33162129</v>
      </c>
      <c r="F21" s="321">
        <v>17303788</v>
      </c>
      <c r="G21" s="437">
        <v>25257977.370744318</v>
      </c>
      <c r="H21" s="321">
        <f>+H19-H20</f>
        <v>7904105.629255682</v>
      </c>
    </row>
    <row r="22" spans="2:11" ht="18" customHeight="1">
      <c r="B22" s="250" t="s">
        <v>313</v>
      </c>
      <c r="C22" s="257" t="s">
        <v>426</v>
      </c>
      <c r="D22" s="234"/>
      <c r="E22" s="698"/>
      <c r="F22" s="264"/>
      <c r="G22" s="233"/>
      <c r="H22" s="264"/>
      <c r="K22" s="223"/>
    </row>
    <row r="23" spans="2:8" ht="16.5" customHeight="1">
      <c r="B23" s="251"/>
      <c r="C23" s="28" t="s">
        <v>443</v>
      </c>
      <c r="D23" s="234"/>
      <c r="E23" s="370">
        <v>8088857</v>
      </c>
      <c r="F23" s="370">
        <v>11591507</v>
      </c>
      <c r="G23" s="439">
        <v>0</v>
      </c>
      <c r="H23" s="263">
        <v>0</v>
      </c>
    </row>
    <row r="24" spans="2:8" ht="16.5" customHeight="1">
      <c r="B24" s="250"/>
      <c r="C24" s="28"/>
      <c r="D24" s="234"/>
      <c r="E24" s="698"/>
      <c r="F24" s="264"/>
      <c r="G24" s="233"/>
      <c r="H24" s="264"/>
    </row>
    <row r="25" spans="2:8" ht="16.5" customHeight="1">
      <c r="B25" s="250" t="s">
        <v>314</v>
      </c>
      <c r="C25" s="242" t="s">
        <v>513</v>
      </c>
      <c r="D25" s="234"/>
      <c r="E25" s="265">
        <v>25073272</v>
      </c>
      <c r="F25" s="265">
        <v>5712281</v>
      </c>
      <c r="G25" s="436">
        <v>25257977.370744318</v>
      </c>
      <c r="H25" s="265">
        <f>+H21-H23</f>
        <v>7904105.629255682</v>
      </c>
    </row>
    <row r="26" spans="2:8" ht="16.5" customHeight="1">
      <c r="B26" s="250" t="s">
        <v>315</v>
      </c>
      <c r="C26" s="28" t="s">
        <v>317</v>
      </c>
      <c r="D26" s="234" t="s">
        <v>545</v>
      </c>
      <c r="E26" s="233"/>
      <c r="F26" s="598"/>
      <c r="G26" s="233"/>
      <c r="H26" s="266"/>
    </row>
    <row r="27" spans="2:8" ht="16.5" customHeight="1">
      <c r="B27" s="250"/>
      <c r="C27" s="28" t="s">
        <v>292</v>
      </c>
      <c r="D27" s="234"/>
      <c r="E27" s="313">
        <v>2.372843899170607</v>
      </c>
      <c r="F27" s="313">
        <v>0.5592051884483602</v>
      </c>
      <c r="G27" s="440">
        <v>2.472636061746874</v>
      </c>
      <c r="H27" s="313">
        <f>+'Notes to P&amp;L'!F84</f>
        <v>0.7737744130450986</v>
      </c>
    </row>
    <row r="28" spans="2:8" ht="16.5" customHeight="1">
      <c r="B28" s="250"/>
      <c r="C28" s="28" t="s">
        <v>293</v>
      </c>
      <c r="D28" s="234"/>
      <c r="E28" s="266">
        <v>2.372843899170607</v>
      </c>
      <c r="F28" s="266">
        <v>0.5592051884483602</v>
      </c>
      <c r="G28" s="440">
        <v>2.472636061746874</v>
      </c>
      <c r="H28" s="266">
        <f>+'Notes to P&amp;L'!F85</f>
        <v>0.7737744130450986</v>
      </c>
    </row>
    <row r="29" spans="2:8" ht="24" customHeight="1">
      <c r="B29" s="252" t="s">
        <v>316</v>
      </c>
      <c r="C29" s="249" t="s">
        <v>377</v>
      </c>
      <c r="D29" s="238" t="s">
        <v>533</v>
      </c>
      <c r="E29" s="363"/>
      <c r="F29" s="390"/>
      <c r="G29" s="363"/>
      <c r="H29" s="447"/>
    </row>
    <row r="30" spans="2:8" ht="15.75" customHeight="1">
      <c r="B30" s="322"/>
      <c r="C30" s="8"/>
      <c r="D30" s="8"/>
      <c r="E30" s="392"/>
      <c r="F30" s="599"/>
      <c r="G30" s="432"/>
      <c r="H30" s="599"/>
    </row>
    <row r="31" spans="2:8" ht="16.5" customHeight="1">
      <c r="B31" s="243" t="s">
        <v>458</v>
      </c>
      <c r="C31" s="244"/>
      <c r="D31" s="244"/>
      <c r="E31" s="434"/>
      <c r="F31" s="600"/>
      <c r="G31" s="245"/>
      <c r="H31" s="600"/>
    </row>
    <row r="32" spans="2:8" ht="16.5" customHeight="1">
      <c r="B32" s="243"/>
      <c r="C32" s="246"/>
      <c r="D32" s="247"/>
      <c r="E32" s="512"/>
      <c r="F32" s="655"/>
      <c r="G32" s="289"/>
      <c r="H32" s="601"/>
    </row>
    <row r="33" spans="2:8" ht="16.5" customHeight="1">
      <c r="B33" s="29"/>
      <c r="C33" s="22" t="s">
        <v>423</v>
      </c>
      <c r="D33" s="838" t="s">
        <v>298</v>
      </c>
      <c r="E33" s="838"/>
      <c r="F33" s="847"/>
      <c r="G33" s="594"/>
      <c r="H33" s="595"/>
    </row>
    <row r="34" spans="2:8" ht="13.5" customHeight="1">
      <c r="B34" s="29"/>
      <c r="C34" s="20" t="s">
        <v>303</v>
      </c>
      <c r="D34" s="4"/>
      <c r="E34" s="4"/>
      <c r="F34" s="508"/>
      <c r="G34" s="4"/>
      <c r="H34" s="508"/>
    </row>
    <row r="35" spans="2:8" ht="13.5" customHeight="1">
      <c r="B35" s="29"/>
      <c r="C35" s="20" t="s">
        <v>301</v>
      </c>
      <c r="D35" s="4"/>
      <c r="E35" s="4"/>
      <c r="F35" s="602"/>
      <c r="G35" s="221"/>
      <c r="H35" s="602"/>
    </row>
    <row r="36" spans="2:8" ht="16.5" customHeight="1">
      <c r="B36" s="13"/>
      <c r="C36" s="4"/>
      <c r="D36" s="4"/>
      <c r="E36" s="4"/>
      <c r="F36" s="508"/>
      <c r="G36" s="4"/>
      <c r="H36" s="508"/>
    </row>
    <row r="37" spans="2:8" ht="16.5" customHeight="1">
      <c r="B37" s="13"/>
      <c r="C37" s="4" t="s">
        <v>577</v>
      </c>
      <c r="D37" s="4"/>
      <c r="E37" s="4" t="s">
        <v>576</v>
      </c>
      <c r="F37" s="508" t="s">
        <v>576</v>
      </c>
      <c r="G37" s="4"/>
      <c r="H37" s="508"/>
    </row>
    <row r="38" spans="2:8" ht="16.5" customHeight="1">
      <c r="B38" s="21"/>
      <c r="C38" s="22" t="s">
        <v>415</v>
      </c>
      <c r="D38" s="57" t="s">
        <v>471</v>
      </c>
      <c r="E38" s="57"/>
      <c r="F38" s="603"/>
      <c r="G38" s="57"/>
      <c r="H38" s="603"/>
    </row>
    <row r="39" spans="2:8" ht="16.5" customHeight="1">
      <c r="B39" s="21"/>
      <c r="C39" s="262" t="s">
        <v>299</v>
      </c>
      <c r="D39" s="57" t="s">
        <v>220</v>
      </c>
      <c r="E39" s="57"/>
      <c r="F39" s="603"/>
      <c r="G39" s="57"/>
      <c r="H39" s="603"/>
    </row>
    <row r="40" spans="2:8" ht="18" customHeight="1">
      <c r="B40" s="21"/>
      <c r="C40" s="20" t="s">
        <v>416</v>
      </c>
      <c r="D40" s="24"/>
      <c r="E40" s="24"/>
      <c r="F40" s="604"/>
      <c r="G40" s="23"/>
      <c r="H40" s="604"/>
    </row>
    <row r="41" spans="2:8" ht="12.75">
      <c r="B41" s="21"/>
      <c r="C41" s="20" t="str">
        <f>'BS'!B48</f>
        <v>Date: 04-12-2013</v>
      </c>
      <c r="D41" s="228"/>
      <c r="E41" s="228"/>
      <c r="F41" s="605"/>
      <c r="G41" s="228"/>
      <c r="H41" s="605"/>
    </row>
    <row r="42" spans="2:8" ht="13.5" customHeight="1">
      <c r="B42" s="21"/>
      <c r="C42" s="20" t="s">
        <v>300</v>
      </c>
      <c r="D42" s="4"/>
      <c r="E42" s="4"/>
      <c r="F42" s="508"/>
      <c r="G42" s="4"/>
      <c r="H42" s="508"/>
    </row>
    <row r="43" spans="2:8" ht="12.75">
      <c r="B43" s="19"/>
      <c r="C43" s="18"/>
      <c r="D43" s="17"/>
      <c r="E43" s="17"/>
      <c r="F43" s="606"/>
      <c r="G43" s="17"/>
      <c r="H43" s="606"/>
    </row>
    <row r="45" ht="8.25" customHeight="1"/>
    <row r="46" ht="13.5" customHeight="1"/>
  </sheetData>
  <sheetProtection/>
  <mergeCells count="1">
    <mergeCell ref="D33:F33"/>
  </mergeCells>
  <printOptions horizontalCentered="1"/>
  <pageMargins left="0.92" right="0.94" top="0.94" bottom="0.196850393700787" header="0.78" footer="0.43"/>
  <pageSetup fitToHeight="1" fitToWidth="1" horizontalDpi="300" verticalDpi="300" orientation="portrait" paperSize="9" scale="9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80"/>
  <sheetViews>
    <sheetView zoomScalePageLayoutView="0" workbookViewId="0" topLeftCell="A13">
      <selection activeCell="C28" sqref="C28"/>
    </sheetView>
  </sheetViews>
  <sheetFormatPr defaultColWidth="9.140625" defaultRowHeight="12.75"/>
  <cols>
    <col min="1" max="1" width="4.8515625" style="450" customWidth="1"/>
    <col min="2" max="2" width="55.00390625" style="450" customWidth="1"/>
    <col min="3" max="3" width="16.7109375" style="450" customWidth="1"/>
    <col min="4" max="4" width="0.2890625" style="450" hidden="1" customWidth="1"/>
    <col min="5" max="5" width="16.8515625" style="270" customWidth="1"/>
    <col min="6" max="6" width="9.140625" style="450" customWidth="1"/>
    <col min="7" max="7" width="22.140625" style="450" customWidth="1"/>
    <col min="8" max="16384" width="9.140625" style="450" customWidth="1"/>
  </cols>
  <sheetData>
    <row r="1" spans="1:5" s="270" customFormat="1" ht="15">
      <c r="A1" s="848" t="str">
        <f>'BS'!B2</f>
        <v>RAVILEELA GRANITES LIMITED</v>
      </c>
      <c r="B1" s="849"/>
      <c r="C1" s="849"/>
      <c r="D1" s="849"/>
      <c r="E1" s="850"/>
    </row>
    <row r="2" spans="1:5" s="270" customFormat="1" ht="13.5">
      <c r="A2" s="699"/>
      <c r="B2" s="452"/>
      <c r="C2" s="452"/>
      <c r="D2" s="452"/>
      <c r="E2" s="700"/>
    </row>
    <row r="3" spans="1:5" s="270" customFormat="1" ht="15">
      <c r="A3" s="699"/>
      <c r="B3" s="459" t="s">
        <v>142</v>
      </c>
      <c r="C3" s="452"/>
      <c r="D3" s="452"/>
      <c r="E3" s="704" t="s">
        <v>542</v>
      </c>
    </row>
    <row r="4" spans="1:5" s="270" customFormat="1" ht="15">
      <c r="A4" s="701"/>
      <c r="B4" s="465" t="s">
        <v>294</v>
      </c>
      <c r="C4" s="702" t="s">
        <v>543</v>
      </c>
      <c r="D4" s="703"/>
      <c r="E4" s="702" t="s">
        <v>544</v>
      </c>
    </row>
    <row r="5" spans="1:5" ht="15">
      <c r="A5" s="705" t="s">
        <v>488</v>
      </c>
      <c r="B5" s="516" t="s">
        <v>143</v>
      </c>
      <c r="C5" s="517"/>
      <c r="D5" s="518"/>
      <c r="E5" s="517"/>
    </row>
    <row r="6" spans="1:5" ht="13.5">
      <c r="A6" s="705"/>
      <c r="B6" s="519" t="s">
        <v>144</v>
      </c>
      <c r="C6" s="520">
        <v>331.62129</v>
      </c>
      <c r="D6" s="518"/>
      <c r="E6" s="520">
        <v>173.03786146268547</v>
      </c>
    </row>
    <row r="7" spans="1:5" ht="15">
      <c r="A7" s="705"/>
      <c r="B7" s="521" t="s">
        <v>145</v>
      </c>
      <c r="C7" s="520"/>
      <c r="D7" s="518"/>
      <c r="E7" s="520"/>
    </row>
    <row r="8" spans="1:5" ht="13.5">
      <c r="A8" s="705"/>
      <c r="B8" s="519" t="s">
        <v>146</v>
      </c>
      <c r="C8" s="520">
        <v>11.54371</v>
      </c>
      <c r="D8" s="518"/>
      <c r="E8" s="520">
        <v>12.135843166792238</v>
      </c>
    </row>
    <row r="9" spans="1:5" ht="13.5">
      <c r="A9" s="705"/>
      <c r="B9" s="522" t="s">
        <v>366</v>
      </c>
      <c r="C9" s="520">
        <v>76.06047</v>
      </c>
      <c r="D9" s="518"/>
      <c r="E9" s="520">
        <v>76.80204752625545</v>
      </c>
    </row>
    <row r="10" spans="1:5" ht="13.5">
      <c r="A10" s="705"/>
      <c r="B10" s="519" t="s">
        <v>147</v>
      </c>
      <c r="C10" s="523">
        <v>419.22547</v>
      </c>
      <c r="D10" s="518"/>
      <c r="E10" s="523">
        <v>261.9757521557332</v>
      </c>
    </row>
    <row r="11" spans="1:5" ht="15">
      <c r="A11" s="705"/>
      <c r="B11" s="521" t="s">
        <v>145</v>
      </c>
      <c r="C11" s="520"/>
      <c r="D11" s="518"/>
      <c r="E11" s="520"/>
    </row>
    <row r="12" spans="1:5" ht="13.5">
      <c r="A12" s="705"/>
      <c r="B12" s="524" t="s">
        <v>148</v>
      </c>
      <c r="C12" s="525">
        <v>-169.90365</v>
      </c>
      <c r="D12" s="518"/>
      <c r="E12" s="525">
        <v>-37.09169760000005</v>
      </c>
    </row>
    <row r="13" spans="1:5" ht="13.5">
      <c r="A13" s="705"/>
      <c r="B13" s="522" t="s">
        <v>149</v>
      </c>
      <c r="C13" s="525">
        <v>-119.55295</v>
      </c>
      <c r="D13" s="518"/>
      <c r="E13" s="525">
        <v>2.5051458442670853</v>
      </c>
    </row>
    <row r="14" spans="1:5" ht="13.5">
      <c r="A14" s="705"/>
      <c r="B14" s="522" t="s">
        <v>150</v>
      </c>
      <c r="C14" s="520">
        <v>27.67755</v>
      </c>
      <c r="D14" s="518"/>
      <c r="E14" s="520">
        <v>-152.12816520000004</v>
      </c>
    </row>
    <row r="15" spans="1:6" s="529" customFormat="1" ht="15">
      <c r="A15" s="706"/>
      <c r="B15" s="521" t="s">
        <v>151</v>
      </c>
      <c r="C15" s="526">
        <v>157.44642</v>
      </c>
      <c r="D15" s="527"/>
      <c r="E15" s="526">
        <v>75.26103520000015</v>
      </c>
      <c r="F15" s="528"/>
    </row>
    <row r="16" spans="1:5" ht="15">
      <c r="A16" s="705"/>
      <c r="B16" s="530" t="s">
        <v>143</v>
      </c>
      <c r="C16" s="531">
        <v>157.44642</v>
      </c>
      <c r="D16" s="518"/>
      <c r="E16" s="531">
        <v>75.26103520000015</v>
      </c>
    </row>
    <row r="17" spans="1:5" ht="15">
      <c r="A17" s="705"/>
      <c r="B17" s="530"/>
      <c r="C17" s="531"/>
      <c r="D17" s="518"/>
      <c r="E17" s="531"/>
    </row>
    <row r="18" spans="1:5" ht="15">
      <c r="A18" s="705" t="s">
        <v>489</v>
      </c>
      <c r="B18" s="516" t="s">
        <v>152</v>
      </c>
      <c r="C18" s="532"/>
      <c r="D18" s="518"/>
      <c r="E18" s="532"/>
    </row>
    <row r="19" spans="1:5" ht="13.5">
      <c r="A19" s="705"/>
      <c r="B19" s="522" t="s">
        <v>153</v>
      </c>
      <c r="C19" s="520">
        <v>-205.40587</v>
      </c>
      <c r="D19" s="518"/>
      <c r="E19" s="520">
        <v>-53.46839</v>
      </c>
    </row>
    <row r="20" spans="1:5" ht="13.5">
      <c r="A20" s="705"/>
      <c r="B20" s="522" t="s">
        <v>154</v>
      </c>
      <c r="C20" s="520">
        <v>7.58785</v>
      </c>
      <c r="D20" s="518"/>
      <c r="E20" s="520">
        <v>19.36039</v>
      </c>
    </row>
    <row r="21" spans="1:7" ht="15">
      <c r="A21" s="705"/>
      <c r="B21" s="519" t="s">
        <v>155</v>
      </c>
      <c r="C21" s="526">
        <v>-197.81802</v>
      </c>
      <c r="D21" s="527"/>
      <c r="E21" s="526">
        <v>-34.108000000000004</v>
      </c>
      <c r="G21" s="533"/>
    </row>
    <row r="22" spans="1:5" ht="15">
      <c r="A22" s="705" t="s">
        <v>156</v>
      </c>
      <c r="B22" s="516" t="s">
        <v>157</v>
      </c>
      <c r="C22" s="532"/>
      <c r="D22" s="518"/>
      <c r="E22" s="532"/>
    </row>
    <row r="23" spans="1:5" ht="13.5">
      <c r="A23" s="705"/>
      <c r="B23" s="519" t="s">
        <v>158</v>
      </c>
      <c r="C23" s="520">
        <v>0</v>
      </c>
      <c r="D23" s="518"/>
      <c r="E23" s="520">
        <v>0</v>
      </c>
    </row>
    <row r="24" spans="1:5" ht="13.5">
      <c r="A24" s="705"/>
      <c r="B24" s="519" t="s">
        <v>159</v>
      </c>
      <c r="C24" s="534">
        <v>0</v>
      </c>
      <c r="D24" s="518"/>
      <c r="E24" s="534">
        <v>0</v>
      </c>
    </row>
    <row r="25" spans="1:5" ht="15">
      <c r="A25" s="705"/>
      <c r="B25" s="519" t="s">
        <v>160</v>
      </c>
      <c r="C25" s="526">
        <v>0</v>
      </c>
      <c r="D25" s="527"/>
      <c r="E25" s="520">
        <v>0</v>
      </c>
    </row>
    <row r="26" spans="1:5" ht="13.5">
      <c r="A26" s="705"/>
      <c r="B26" s="530" t="s">
        <v>161</v>
      </c>
      <c r="C26" s="534">
        <v>-40.3716</v>
      </c>
      <c r="D26" s="534">
        <v>0</v>
      </c>
      <c r="E26" s="534">
        <v>41.15303520000015</v>
      </c>
    </row>
    <row r="27" spans="1:5" ht="13.5">
      <c r="A27" s="705"/>
      <c r="B27" s="519" t="s">
        <v>318</v>
      </c>
      <c r="C27" s="520">
        <v>41.55071408107992</v>
      </c>
      <c r="D27" s="518"/>
      <c r="E27" s="520">
        <v>0.3976788810797689</v>
      </c>
    </row>
    <row r="28" spans="1:9" ht="13.5">
      <c r="A28" s="705"/>
      <c r="B28" s="519" t="s">
        <v>319</v>
      </c>
      <c r="C28" s="520">
        <v>1.1791140810799163</v>
      </c>
      <c r="D28" s="518"/>
      <c r="E28" s="520">
        <v>41.55071408107992</v>
      </c>
      <c r="F28" s="533"/>
      <c r="G28" s="535"/>
      <c r="H28" s="536"/>
      <c r="I28" s="536"/>
    </row>
    <row r="29" spans="1:9" ht="15">
      <c r="A29" s="707"/>
      <c r="B29" s="537"/>
      <c r="C29" s="538"/>
      <c r="D29" s="539"/>
      <c r="E29" s="538"/>
      <c r="F29" s="270"/>
      <c r="G29" s="535"/>
      <c r="H29" s="536"/>
      <c r="I29" s="536"/>
    </row>
    <row r="30" spans="1:9" s="270" customFormat="1" ht="15">
      <c r="A30" s="705"/>
      <c r="B30" s="452"/>
      <c r="C30" s="540" t="s">
        <v>51</v>
      </c>
      <c r="D30" s="495"/>
      <c r="E30" s="708"/>
      <c r="G30" s="541"/>
      <c r="H30" s="542"/>
      <c r="I30" s="542"/>
    </row>
    <row r="31" spans="1:5" s="270" customFormat="1" ht="15">
      <c r="A31" s="699"/>
      <c r="B31" s="452"/>
      <c r="C31" s="494"/>
      <c r="D31" s="495"/>
      <c r="E31" s="708"/>
    </row>
    <row r="32" spans="1:5" s="270" customFormat="1" ht="15">
      <c r="A32" s="699"/>
      <c r="B32" s="543" t="s">
        <v>576</v>
      </c>
      <c r="C32" s="540"/>
      <c r="D32" s="495"/>
      <c r="E32" s="708" t="s">
        <v>576</v>
      </c>
    </row>
    <row r="33" spans="1:5" s="270" customFormat="1" ht="13.5">
      <c r="A33" s="699"/>
      <c r="B33" s="452"/>
      <c r="C33" s="495"/>
      <c r="D33" s="495"/>
      <c r="E33" s="708"/>
    </row>
    <row r="34" spans="1:5" s="270" customFormat="1" ht="15">
      <c r="A34" s="699"/>
      <c r="B34" s="452"/>
      <c r="C34" s="540" t="s">
        <v>162</v>
      </c>
      <c r="D34" s="495"/>
      <c r="E34" s="709"/>
    </row>
    <row r="35" spans="1:5" s="270" customFormat="1" ht="13.5">
      <c r="A35" s="710"/>
      <c r="B35" s="457"/>
      <c r="C35" s="544" t="s">
        <v>163</v>
      </c>
      <c r="D35" s="545"/>
      <c r="E35" s="711"/>
    </row>
    <row r="36" spans="1:5" s="270" customFormat="1" ht="15">
      <c r="A36" s="851" t="s">
        <v>164</v>
      </c>
      <c r="B36" s="852"/>
      <c r="C36" s="852"/>
      <c r="D36" s="852"/>
      <c r="E36" s="853"/>
    </row>
    <row r="37" spans="1:5" s="270" customFormat="1" ht="42.75" customHeight="1">
      <c r="A37" s="854" t="s">
        <v>532</v>
      </c>
      <c r="B37" s="855"/>
      <c r="C37" s="855"/>
      <c r="D37" s="855"/>
      <c r="E37" s="856"/>
    </row>
    <row r="38" spans="1:5" s="270" customFormat="1" ht="13.5">
      <c r="A38" s="712"/>
      <c r="B38" s="452"/>
      <c r="C38" s="495"/>
      <c r="D38" s="495"/>
      <c r="E38" s="708"/>
    </row>
    <row r="39" spans="1:5" s="270" customFormat="1" ht="15">
      <c r="A39" s="699"/>
      <c r="B39" s="452"/>
      <c r="C39" s="546" t="s">
        <v>165</v>
      </c>
      <c r="D39" s="452"/>
      <c r="E39" s="708"/>
    </row>
    <row r="40" spans="1:5" s="270" customFormat="1" ht="15">
      <c r="A40" s="699"/>
      <c r="B40" s="452"/>
      <c r="C40" s="546" t="s">
        <v>52</v>
      </c>
      <c r="D40" s="452"/>
      <c r="E40" s="708"/>
    </row>
    <row r="41" spans="1:5" s="270" customFormat="1" ht="13.5">
      <c r="A41" s="699"/>
      <c r="B41" s="452"/>
      <c r="C41" s="547" t="s">
        <v>303</v>
      </c>
      <c r="D41" s="452"/>
      <c r="E41" s="708"/>
    </row>
    <row r="42" spans="1:5" s="270" customFormat="1" ht="13.5">
      <c r="A42" s="699"/>
      <c r="B42" s="452"/>
      <c r="C42" s="547"/>
      <c r="D42" s="452"/>
      <c r="E42" s="708"/>
    </row>
    <row r="43" spans="1:5" s="270" customFormat="1" ht="15">
      <c r="A43" s="699" t="s">
        <v>166</v>
      </c>
      <c r="B43" s="452"/>
      <c r="C43" s="822" t="s">
        <v>576</v>
      </c>
      <c r="D43" s="452"/>
      <c r="E43" s="700"/>
    </row>
    <row r="44" spans="1:5" s="270" customFormat="1" ht="13.5">
      <c r="A44" s="712" t="str">
        <f>'BS'!B48</f>
        <v>Date: 04-12-2013</v>
      </c>
      <c r="B44" s="452"/>
      <c r="C44" s="549"/>
      <c r="D44" s="452"/>
      <c r="E44" s="700"/>
    </row>
    <row r="45" spans="1:5" s="270" customFormat="1" ht="15">
      <c r="A45" s="699"/>
      <c r="B45" s="452"/>
      <c r="C45" s="548" t="s">
        <v>167</v>
      </c>
      <c r="D45" s="452"/>
      <c r="E45" s="700"/>
    </row>
    <row r="46" spans="1:5" s="270" customFormat="1" ht="13.5">
      <c r="A46" s="699"/>
      <c r="B46" s="452"/>
      <c r="C46" s="549" t="s">
        <v>299</v>
      </c>
      <c r="D46" s="452"/>
      <c r="E46" s="700"/>
    </row>
    <row r="47" spans="1:5" s="270" customFormat="1" ht="13.5">
      <c r="A47" s="699"/>
      <c r="B47" s="452"/>
      <c r="C47" s="549" t="s">
        <v>168</v>
      </c>
      <c r="D47" s="452"/>
      <c r="E47" s="700"/>
    </row>
    <row r="48" spans="1:5" s="270" customFormat="1" ht="13.5">
      <c r="A48" s="710"/>
      <c r="B48" s="457"/>
      <c r="C48" s="713"/>
      <c r="D48" s="457"/>
      <c r="E48" s="714"/>
    </row>
    <row r="49" ht="13.5">
      <c r="C49" s="550"/>
    </row>
    <row r="69" ht="13.5">
      <c r="C69" s="450">
        <v>16386</v>
      </c>
    </row>
    <row r="70" ht="13.5">
      <c r="C70" s="450">
        <v>4683</v>
      </c>
    </row>
    <row r="71" ht="13.5">
      <c r="C71" s="450">
        <f>+C70+C69</f>
        <v>21069</v>
      </c>
    </row>
    <row r="72" ht="13.5">
      <c r="C72" s="450">
        <v>4683</v>
      </c>
    </row>
    <row r="73" ht="13.5">
      <c r="C73" s="450">
        <v>4802</v>
      </c>
    </row>
    <row r="74" ht="13.5">
      <c r="C74" s="450">
        <v>4965</v>
      </c>
    </row>
    <row r="75" ht="13.5">
      <c r="C75" s="450">
        <f>+C74+C73+C72+C71</f>
        <v>35519</v>
      </c>
    </row>
    <row r="76" ht="13.5">
      <c r="C76" s="450">
        <f>+C75*10/100</f>
        <v>3551.9</v>
      </c>
    </row>
    <row r="77" ht="13.5">
      <c r="C77" s="450">
        <f>3552+1686</f>
        <v>5238</v>
      </c>
    </row>
    <row r="78" ht="13.5">
      <c r="F78" s="450">
        <v>660</v>
      </c>
    </row>
    <row r="79" ht="13.5">
      <c r="F79" s="450">
        <v>472</v>
      </c>
    </row>
    <row r="80" ht="13.5">
      <c r="F80" s="450">
        <f>+F79+F78</f>
        <v>1132</v>
      </c>
    </row>
  </sheetData>
  <sheetProtection/>
  <mergeCells count="3">
    <mergeCell ref="A1:E1"/>
    <mergeCell ref="A36:E36"/>
    <mergeCell ref="A37:E37"/>
  </mergeCells>
  <printOptions/>
  <pageMargins left="1.19" right="0.96" top="0.75" bottom="0.75" header="0.3" footer="0.3"/>
  <pageSetup fitToHeight="1" fitToWidth="1"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2:CP34"/>
  <sheetViews>
    <sheetView zoomScalePageLayoutView="0" workbookViewId="0" topLeftCell="A19">
      <selection activeCell="B2" sqref="B2:G30"/>
    </sheetView>
  </sheetViews>
  <sheetFormatPr defaultColWidth="9.140625" defaultRowHeight="12.75"/>
  <cols>
    <col min="1" max="1" width="3.00390625" style="410" customWidth="1"/>
    <col min="2" max="2" width="45.140625" style="410" customWidth="1"/>
    <col min="3" max="3" width="10.140625" style="410" customWidth="1"/>
    <col min="4" max="6" width="15.140625" style="410" customWidth="1"/>
    <col min="7" max="7" width="14.421875" style="410" customWidth="1"/>
    <col min="8" max="8" width="15.57421875" style="410" customWidth="1"/>
    <col min="9" max="9" width="9.140625" style="410" customWidth="1"/>
    <col min="10" max="11" width="16.57421875" style="410" customWidth="1"/>
    <col min="12" max="94" width="9.140625" style="410" customWidth="1"/>
    <col min="95" max="16384" width="9.140625" style="411" customWidth="1"/>
  </cols>
  <sheetData>
    <row r="1" ht="12.75"/>
    <row r="2" spans="1:94" s="84" customFormat="1" ht="12.75">
      <c r="A2" s="82"/>
      <c r="B2" s="570" t="s">
        <v>447</v>
      </c>
      <c r="C2" s="796"/>
      <c r="D2" s="796"/>
      <c r="E2" s="796"/>
      <c r="F2" s="796"/>
      <c r="G2" s="797"/>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row>
    <row r="3" spans="2:7" s="84" customFormat="1" ht="12.75">
      <c r="B3" s="240"/>
      <c r="C3" s="341"/>
      <c r="D3" s="341"/>
      <c r="E3" s="341"/>
      <c r="F3" s="341"/>
      <c r="G3" s="394"/>
    </row>
    <row r="4" spans="2:7" s="84" customFormat="1" ht="12.75">
      <c r="B4" s="395" t="s">
        <v>323</v>
      </c>
      <c r="C4" s="396"/>
      <c r="D4" s="396"/>
      <c r="E4" s="396"/>
      <c r="F4" s="396"/>
      <c r="G4" s="397" t="s">
        <v>295</v>
      </c>
    </row>
    <row r="5" spans="2:7" s="86" customFormat="1" ht="32.25" customHeight="1" thickBot="1">
      <c r="B5" s="802" t="s">
        <v>346</v>
      </c>
      <c r="C5" s="803"/>
      <c r="D5" s="790" t="s">
        <v>232</v>
      </c>
      <c r="E5" s="791"/>
      <c r="F5" s="790" t="s">
        <v>548</v>
      </c>
      <c r="G5" s="791"/>
    </row>
    <row r="6" spans="1:94" s="84" customFormat="1" ht="13.5" thickTop="1">
      <c r="A6" s="82"/>
      <c r="B6" s="806"/>
      <c r="C6" s="807"/>
      <c r="D6" s="398" t="s">
        <v>177</v>
      </c>
      <c r="E6" s="399" t="s">
        <v>178</v>
      </c>
      <c r="F6" s="398" t="s">
        <v>177</v>
      </c>
      <c r="G6" s="399" t="s">
        <v>178</v>
      </c>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row>
    <row r="7" spans="1:94" s="84" customFormat="1" ht="12.75">
      <c r="A7" s="82"/>
      <c r="B7" s="241" t="s">
        <v>274</v>
      </c>
      <c r="C7" s="400"/>
      <c r="D7" s="400"/>
      <c r="E7" s="400"/>
      <c r="F7" s="381"/>
      <c r="G7" s="401"/>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row>
    <row r="8" spans="1:94" s="84" customFormat="1" ht="12.75">
      <c r="A8" s="82"/>
      <c r="B8" s="241" t="s">
        <v>302</v>
      </c>
      <c r="C8" s="400"/>
      <c r="D8" s="400"/>
      <c r="E8" s="400"/>
      <c r="F8" s="381"/>
      <c r="G8" s="401"/>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row>
    <row r="9" spans="1:94" s="84" customFormat="1" ht="12.75">
      <c r="A9" s="82"/>
      <c r="B9" s="241" t="s">
        <v>322</v>
      </c>
      <c r="C9" s="400"/>
      <c r="D9" s="381">
        <v>12000000</v>
      </c>
      <c r="E9" s="402">
        <v>120000000</v>
      </c>
      <c r="F9" s="381">
        <v>12000000</v>
      </c>
      <c r="G9" s="401">
        <v>120000000</v>
      </c>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row>
    <row r="10" spans="1:94" s="84" customFormat="1" ht="12.75">
      <c r="A10" s="82"/>
      <c r="B10" s="10" t="s">
        <v>176</v>
      </c>
      <c r="C10" s="14"/>
      <c r="D10" s="14"/>
      <c r="E10" s="14"/>
      <c r="F10" s="381">
        <v>0</v>
      </c>
      <c r="G10" s="401"/>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row>
    <row r="11" spans="1:94" s="84" customFormat="1" ht="12.75">
      <c r="A11" s="82"/>
      <c r="B11" s="10"/>
      <c r="C11" s="14"/>
      <c r="D11" s="14"/>
      <c r="E11" s="14"/>
      <c r="F11" s="381"/>
      <c r="G11" s="401"/>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row>
    <row r="12" spans="1:94" s="84" customFormat="1" ht="12.75">
      <c r="A12" s="82"/>
      <c r="B12" s="241"/>
      <c r="C12" s="400"/>
      <c r="D12" s="400"/>
      <c r="E12" s="400"/>
      <c r="F12" s="381"/>
      <c r="G12" s="401"/>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row>
    <row r="13" spans="1:94" s="84" customFormat="1" ht="12.75">
      <c r="A13" s="82"/>
      <c r="B13" s="241" t="s">
        <v>372</v>
      </c>
      <c r="C13" s="400"/>
      <c r="D13" s="381">
        <v>10586000</v>
      </c>
      <c r="E13" s="755">
        <v>105860000</v>
      </c>
      <c r="F13" s="381">
        <v>10215000</v>
      </c>
      <c r="G13" s="401">
        <v>102150000</v>
      </c>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row>
    <row r="14" spans="1:94" s="84" customFormat="1" ht="12.75">
      <c r="A14" s="82"/>
      <c r="B14" s="10" t="s">
        <v>176</v>
      </c>
      <c r="C14" s="14"/>
      <c r="D14" s="756"/>
      <c r="E14" s="756"/>
      <c r="F14" s="381"/>
      <c r="G14" s="401"/>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row>
    <row r="15" spans="1:94" s="84" customFormat="1" ht="12.75">
      <c r="A15" s="82"/>
      <c r="B15" s="10" t="s">
        <v>547</v>
      </c>
      <c r="C15" s="14"/>
      <c r="D15" s="381">
        <v>38480</v>
      </c>
      <c r="E15" s="757">
        <v>192400</v>
      </c>
      <c r="F15" s="381">
        <v>96200</v>
      </c>
      <c r="G15" s="401">
        <v>481000</v>
      </c>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row>
    <row r="16" spans="1:94" s="84" customFormat="1" ht="12.75">
      <c r="A16" s="82"/>
      <c r="B16" s="308" t="s">
        <v>456</v>
      </c>
      <c r="C16" s="403"/>
      <c r="D16" s="403"/>
      <c r="E16" s="403"/>
      <c r="F16" s="381"/>
      <c r="G16" s="401"/>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row>
    <row r="17" spans="1:94" s="84" customFormat="1" ht="12.75">
      <c r="A17" s="82"/>
      <c r="B17" s="404"/>
      <c r="C17" s="405"/>
      <c r="D17" s="376">
        <v>10586000</v>
      </c>
      <c r="E17" s="406">
        <v>105667600</v>
      </c>
      <c r="F17" s="378">
        <v>10215000</v>
      </c>
      <c r="G17" s="406">
        <v>101669000</v>
      </c>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row>
    <row r="18" spans="1:94" s="84" customFormat="1" ht="12.75">
      <c r="A18" s="82"/>
      <c r="B18" s="241"/>
      <c r="C18" s="407"/>
      <c r="D18" s="407"/>
      <c r="E18" s="407"/>
      <c r="F18" s="407"/>
      <c r="G18" s="407"/>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row>
    <row r="19" spans="1:94" s="84" customFormat="1" ht="38.25" customHeight="1">
      <c r="A19" s="82"/>
      <c r="B19" s="798" t="s">
        <v>530</v>
      </c>
      <c r="C19" s="799"/>
      <c r="D19" s="799"/>
      <c r="E19" s="799"/>
      <c r="F19" s="799"/>
      <c r="G19" s="799"/>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row>
    <row r="20" spans="1:94" s="84" customFormat="1" ht="13.5" thickBot="1">
      <c r="A20" s="82"/>
      <c r="B20" s="792" t="s">
        <v>294</v>
      </c>
      <c r="C20" s="793"/>
      <c r="D20" s="408" t="s">
        <v>177</v>
      </c>
      <c r="E20" s="408" t="s">
        <v>178</v>
      </c>
      <c r="F20" s="408" t="s">
        <v>177</v>
      </c>
      <c r="G20" s="408" t="s">
        <v>178</v>
      </c>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row>
    <row r="21" spans="1:94" s="84" customFormat="1" ht="15.75" customHeight="1" thickTop="1">
      <c r="A21" s="82"/>
      <c r="B21" s="808" t="s">
        <v>181</v>
      </c>
      <c r="C21" s="809"/>
      <c r="D21" s="275">
        <v>10215000</v>
      </c>
      <c r="E21" s="275">
        <v>101669000</v>
      </c>
      <c r="F21" s="275">
        <v>10215000</v>
      </c>
      <c r="G21" s="275">
        <v>101669000</v>
      </c>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row>
    <row r="22" spans="1:94" s="84" customFormat="1" ht="57" customHeight="1">
      <c r="A22" s="82"/>
      <c r="B22" s="753" t="s">
        <v>549</v>
      </c>
      <c r="C22" s="409"/>
      <c r="D22" s="760">
        <v>10215000</v>
      </c>
      <c r="E22" s="761">
        <v>40667600</v>
      </c>
      <c r="F22" s="36"/>
      <c r="G22" s="36"/>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row>
    <row r="23" spans="1:94" s="84" customFormat="1" ht="53.25" customHeight="1">
      <c r="A23" s="82"/>
      <c r="B23" s="753" t="s">
        <v>553</v>
      </c>
      <c r="C23" s="409" t="s">
        <v>550</v>
      </c>
      <c r="D23" s="760">
        <v>4086000</v>
      </c>
      <c r="E23" s="761">
        <v>40667600</v>
      </c>
      <c r="F23" s="36"/>
      <c r="G23" s="36"/>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row>
    <row r="24" spans="1:94" s="84" customFormat="1" ht="40.5" customHeight="1">
      <c r="A24" s="82"/>
      <c r="B24" s="753" t="s">
        <v>554</v>
      </c>
      <c r="C24" s="409" t="s">
        <v>551</v>
      </c>
      <c r="D24" s="760">
        <v>6500000</v>
      </c>
      <c r="E24" s="761">
        <v>65000000</v>
      </c>
      <c r="F24" s="36"/>
      <c r="G24" s="36"/>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row>
    <row r="25" spans="1:94" s="84" customFormat="1" ht="30" customHeight="1">
      <c r="A25" s="82"/>
      <c r="B25" s="788" t="s">
        <v>552</v>
      </c>
      <c r="C25" s="789"/>
      <c r="D25" s="762">
        <v>10586000</v>
      </c>
      <c r="E25" s="762">
        <v>105667600</v>
      </c>
      <c r="F25" s="766">
        <v>10215000</v>
      </c>
      <c r="G25" s="766">
        <v>101669000</v>
      </c>
      <c r="H25" s="767"/>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row>
    <row r="26" spans="1:94" s="84" customFormat="1" ht="39" customHeight="1">
      <c r="A26" s="82"/>
      <c r="B26" s="800" t="s">
        <v>175</v>
      </c>
      <c r="C26" s="801"/>
      <c r="D26" s="801"/>
      <c r="E26" s="801"/>
      <c r="F26" s="801"/>
      <c r="G26" s="801"/>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row>
    <row r="27" spans="1:94" s="84" customFormat="1" ht="25.5">
      <c r="A27" s="82"/>
      <c r="B27" s="804" t="s">
        <v>179</v>
      </c>
      <c r="C27" s="805"/>
      <c r="D27" s="774" t="s">
        <v>180</v>
      </c>
      <c r="E27" s="774" t="s">
        <v>182</v>
      </c>
      <c r="F27" s="774" t="s">
        <v>180</v>
      </c>
      <c r="G27" s="774" t="s">
        <v>182</v>
      </c>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row>
    <row r="28" spans="1:94" s="84" customFormat="1" ht="12.75">
      <c r="A28" s="82"/>
      <c r="B28" s="794" t="s">
        <v>446</v>
      </c>
      <c r="C28" s="794"/>
      <c r="D28" s="764">
        <v>2581948</v>
      </c>
      <c r="E28" s="775">
        <v>0.24390213489514453</v>
      </c>
      <c r="F28" s="754">
        <v>2409669</v>
      </c>
      <c r="G28" s="775">
        <v>0.23589515418502202</v>
      </c>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row>
    <row r="29" spans="1:94" s="84" customFormat="1" ht="12.75">
      <c r="A29" s="82"/>
      <c r="B29" s="794" t="s">
        <v>448</v>
      </c>
      <c r="C29" s="794"/>
      <c r="D29" s="764">
        <v>277110</v>
      </c>
      <c r="E29" s="775">
        <v>0.026177026261099565</v>
      </c>
      <c r="F29" s="754">
        <v>680000</v>
      </c>
      <c r="G29" s="775">
        <v>0.06656877141458639</v>
      </c>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row>
    <row r="30" spans="1:94" s="84" customFormat="1" ht="12.75">
      <c r="A30" s="82"/>
      <c r="B30" s="794" t="s">
        <v>546</v>
      </c>
      <c r="C30" s="794"/>
      <c r="D30" s="764">
        <v>4996890</v>
      </c>
      <c r="E30" s="775">
        <v>0.472028150387304</v>
      </c>
      <c r="F30" s="768">
        <v>0</v>
      </c>
      <c r="G30" s="775">
        <v>0</v>
      </c>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row>
    <row r="31" spans="1:94" s="84" customFormat="1" ht="0.75" customHeight="1" hidden="1">
      <c r="A31" s="82"/>
      <c r="B31" s="794" t="s">
        <v>558</v>
      </c>
      <c r="C31" s="794"/>
      <c r="D31" s="765">
        <v>12400</v>
      </c>
      <c r="E31" s="775">
        <v>0.0011713583978839978</v>
      </c>
      <c r="F31" s="754">
        <v>331200</v>
      </c>
      <c r="G31" s="775">
        <v>0.03242290748898678</v>
      </c>
      <c r="H31" s="82"/>
      <c r="I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row>
    <row r="32" spans="1:94" s="84" customFormat="1" ht="23.25" customHeight="1" hidden="1">
      <c r="A32" s="82"/>
      <c r="B32" s="795" t="s">
        <v>559</v>
      </c>
      <c r="C32" s="795"/>
      <c r="D32" s="776">
        <v>7868348</v>
      </c>
      <c r="E32" s="777">
        <v>0.7432786699414321</v>
      </c>
      <c r="F32" s="778">
        <v>3420869</v>
      </c>
      <c r="G32" s="777">
        <v>0.33488683308859524</v>
      </c>
      <c r="H32" s="82"/>
      <c r="I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row>
    <row r="33" spans="1:94" s="84" customFormat="1" ht="31.5" customHeight="1" hidden="1">
      <c r="A33" s="82"/>
      <c r="B33" s="795" t="s">
        <v>555</v>
      </c>
      <c r="C33" s="795"/>
      <c r="D33" s="776">
        <v>2717652</v>
      </c>
      <c r="E33" s="777">
        <v>0.2567213300585679</v>
      </c>
      <c r="F33" s="779">
        <v>6794131</v>
      </c>
      <c r="G33" s="777">
        <v>0.6651131669114048</v>
      </c>
      <c r="H33" s="82"/>
      <c r="I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row>
    <row r="34" spans="1:94" s="84" customFormat="1" ht="3" customHeight="1" hidden="1">
      <c r="A34" s="82"/>
      <c r="B34" s="758" t="s">
        <v>285</v>
      </c>
      <c r="C34" s="759"/>
      <c r="D34" s="763">
        <v>10586000</v>
      </c>
      <c r="E34" s="772">
        <v>1</v>
      </c>
      <c r="F34" s="773">
        <v>10215000</v>
      </c>
      <c r="G34" s="772">
        <v>1</v>
      </c>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row>
  </sheetData>
  <sheetProtection/>
  <printOptions/>
  <pageMargins left="1.04" right="0.8" top="0.75" bottom="0.75" header="0.3" footer="0.3"/>
  <pageSetup fitToHeight="1" fitToWidth="1" horizontalDpi="600" verticalDpi="600" orientation="portrait" scale="10"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E52"/>
  <sheetViews>
    <sheetView zoomScalePageLayoutView="0" workbookViewId="0" topLeftCell="A1">
      <selection activeCell="B33" sqref="B33"/>
    </sheetView>
  </sheetViews>
  <sheetFormatPr defaultColWidth="9.140625" defaultRowHeight="12.75"/>
  <cols>
    <col min="1" max="1" width="3.00390625" style="40" customWidth="1"/>
    <col min="2" max="2" width="51.28125" style="40" customWidth="1"/>
    <col min="3" max="3" width="19.7109375" style="40" bestFit="1" customWidth="1"/>
    <col min="4" max="4" width="19.421875" style="40" customWidth="1"/>
    <col min="5" max="5" width="15.28125" style="40" customWidth="1"/>
    <col min="6" max="6" width="11.8515625" style="40" bestFit="1" customWidth="1"/>
    <col min="7" max="7" width="13.28125" style="40" bestFit="1" customWidth="1"/>
    <col min="8" max="109" width="9.140625" style="40" customWidth="1"/>
    <col min="110" max="16384" width="9.140625" style="42" customWidth="1"/>
  </cols>
  <sheetData>
    <row r="1" spans="1:109" s="44" customFormat="1" ht="12.7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row>
    <row r="2" spans="2:4" s="44" customFormat="1" ht="12.75">
      <c r="B2" s="783" t="s">
        <v>447</v>
      </c>
      <c r="C2" s="784"/>
      <c r="D2" s="785"/>
    </row>
    <row r="3" spans="2:4" s="44" customFormat="1" ht="12.75">
      <c r="B3" s="45"/>
      <c r="C3" s="364"/>
      <c r="D3" s="426"/>
    </row>
    <row r="4" spans="2:4" s="44" customFormat="1" ht="12.75">
      <c r="B4" s="46" t="s">
        <v>323</v>
      </c>
      <c r="C4" s="365"/>
      <c r="D4" s="253" t="s">
        <v>295</v>
      </c>
    </row>
    <row r="5" spans="2:4" s="47" customFormat="1" ht="26.25" thickBot="1">
      <c r="B5" s="48" t="s">
        <v>294</v>
      </c>
      <c r="C5" s="572" t="s">
        <v>170</v>
      </c>
      <c r="D5" s="573" t="s">
        <v>534</v>
      </c>
    </row>
    <row r="6" spans="1:109" s="44" customFormat="1" ht="15.75" customHeight="1" thickTop="1">
      <c r="A6" s="43"/>
      <c r="B6" s="80"/>
      <c r="C6" s="80"/>
      <c r="D6" s="312"/>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row>
    <row r="7" spans="2:4" ht="12.75">
      <c r="B7" s="49" t="s">
        <v>275</v>
      </c>
      <c r="C7" s="49"/>
      <c r="D7" s="226"/>
    </row>
    <row r="8" spans="2:4" ht="12.75">
      <c r="B8" s="49" t="s">
        <v>335</v>
      </c>
      <c r="C8" s="49"/>
      <c r="D8" s="226"/>
    </row>
    <row r="9" spans="2:4" ht="12.75">
      <c r="B9" s="81" t="s">
        <v>484</v>
      </c>
      <c r="C9" s="81"/>
      <c r="D9" s="226"/>
    </row>
    <row r="10" spans="2:4" ht="12.75">
      <c r="B10" s="10" t="s">
        <v>485</v>
      </c>
      <c r="C10" s="393">
        <v>1500000</v>
      </c>
      <c r="D10" s="665">
        <v>1500000</v>
      </c>
    </row>
    <row r="11" spans="2:4" ht="12.75">
      <c r="B11" s="10"/>
      <c r="C11" s="446"/>
      <c r="D11" s="666"/>
    </row>
    <row r="12" spans="2:4" ht="12.75">
      <c r="B12" s="79" t="s">
        <v>483</v>
      </c>
      <c r="C12" s="667"/>
      <c r="D12" s="666"/>
    </row>
    <row r="13" spans="2:4" ht="12.75">
      <c r="B13" s="10" t="s">
        <v>320</v>
      </c>
      <c r="C13" s="446">
        <v>-165853778</v>
      </c>
      <c r="D13" s="666">
        <v>-171566057</v>
      </c>
    </row>
    <row r="14" spans="2:4" ht="12.75">
      <c r="B14" s="10" t="s">
        <v>556</v>
      </c>
      <c r="C14" s="446">
        <v>-61001400</v>
      </c>
      <c r="D14" s="823">
        <v>0</v>
      </c>
    </row>
    <row r="15" spans="2:4" ht="15.75" customHeight="1">
      <c r="B15" s="10" t="s">
        <v>321</v>
      </c>
      <c r="C15" s="769">
        <v>25073272</v>
      </c>
      <c r="D15" s="666">
        <v>5712279</v>
      </c>
    </row>
    <row r="16" spans="2:4" ht="12.75">
      <c r="B16" s="10"/>
      <c r="C16" s="446"/>
      <c r="D16" s="666"/>
    </row>
    <row r="17" spans="2:4" ht="13.5" thickBot="1">
      <c r="B17" s="10" t="s">
        <v>319</v>
      </c>
      <c r="C17" s="668">
        <v>-201781906</v>
      </c>
      <c r="D17" s="668">
        <v>-165853778</v>
      </c>
    </row>
    <row r="18" spans="2:4" ht="13.5" thickTop="1">
      <c r="B18" s="10"/>
      <c r="C18" s="669">
        <v>-200281906</v>
      </c>
      <c r="D18" s="670">
        <v>-164353778</v>
      </c>
    </row>
    <row r="19" spans="2:4" ht="42">
      <c r="B19" s="771" t="s">
        <v>557</v>
      </c>
      <c r="C19" s="770"/>
      <c r="D19" s="666"/>
    </row>
    <row r="20" spans="2:4" ht="12.75">
      <c r="B20" s="10"/>
      <c r="C20" s="770"/>
      <c r="D20" s="666"/>
    </row>
    <row r="21" spans="2:4" ht="12.75">
      <c r="B21" s="49" t="s">
        <v>276</v>
      </c>
      <c r="C21" s="671"/>
      <c r="D21" s="666"/>
    </row>
    <row r="22" spans="2:4" ht="12.75">
      <c r="B22" s="49" t="s">
        <v>336</v>
      </c>
      <c r="C22" s="671"/>
      <c r="D22" s="672"/>
    </row>
    <row r="23" spans="2:4" ht="12.75">
      <c r="B23" s="78" t="s">
        <v>337</v>
      </c>
      <c r="C23" s="673"/>
      <c r="D23" s="666"/>
    </row>
    <row r="24" spans="2:4" ht="12.75">
      <c r="B24" s="60" t="s">
        <v>464</v>
      </c>
      <c r="C24" s="666">
        <v>85000000</v>
      </c>
      <c r="D24" s="666">
        <v>100000000</v>
      </c>
    </row>
    <row r="25" spans="2:4" ht="12.75">
      <c r="B25" s="60" t="s">
        <v>486</v>
      </c>
      <c r="C25" s="780">
        <v>7363992</v>
      </c>
      <c r="D25" s="666">
        <v>57363992</v>
      </c>
    </row>
    <row r="26" spans="2:4" ht="12.75">
      <c r="B26" s="60"/>
      <c r="C26" s="674"/>
      <c r="D26" s="666"/>
    </row>
    <row r="27" spans="2:4" ht="13.5" thickBot="1">
      <c r="B27" s="62"/>
      <c r="C27" s="668">
        <v>92363992</v>
      </c>
      <c r="D27" s="668">
        <v>157363992</v>
      </c>
    </row>
    <row r="28" spans="2:4" ht="13.5" thickTop="1">
      <c r="B28" s="49" t="s">
        <v>460</v>
      </c>
      <c r="C28" s="671"/>
      <c r="D28" s="666"/>
    </row>
    <row r="29" spans="2:4" ht="12.75">
      <c r="B29" s="49" t="s">
        <v>338</v>
      </c>
      <c r="C29" s="671"/>
      <c r="D29" s="666"/>
    </row>
    <row r="30" spans="2:4" ht="12.75">
      <c r="B30" s="50" t="s">
        <v>407</v>
      </c>
      <c r="C30" s="417">
        <v>5202223</v>
      </c>
      <c r="D30" s="666">
        <v>3461222</v>
      </c>
    </row>
    <row r="31" spans="2:5" ht="12.75">
      <c r="B31" s="50" t="s">
        <v>169</v>
      </c>
      <c r="C31" s="417">
        <v>3279180</v>
      </c>
      <c r="D31" s="666">
        <v>2560774</v>
      </c>
      <c r="E31" s="556"/>
    </row>
    <row r="32" spans="2:5" ht="13.5" thickBot="1">
      <c r="B32" s="225"/>
      <c r="C32" s="668">
        <v>8481403</v>
      </c>
      <c r="D32" s="668">
        <v>6021996</v>
      </c>
      <c r="E32" s="557"/>
    </row>
    <row r="33" spans="2:5" ht="18" customHeight="1" thickTop="1">
      <c r="B33" s="49" t="s">
        <v>277</v>
      </c>
      <c r="C33" s="675"/>
      <c r="D33" s="666"/>
      <c r="E33" s="556"/>
    </row>
    <row r="34" spans="2:5" ht="21" customHeight="1">
      <c r="B34" s="49" t="s">
        <v>339</v>
      </c>
      <c r="C34" s="675"/>
      <c r="D34" s="666"/>
      <c r="E34" s="556"/>
    </row>
    <row r="35" spans="2:6" ht="14.25" customHeight="1" hidden="1">
      <c r="B35" s="660"/>
      <c r="C35" s="676"/>
      <c r="D35" s="676"/>
      <c r="E35" s="556"/>
      <c r="F35" s="511"/>
    </row>
    <row r="36" spans="2:5" ht="15" customHeight="1">
      <c r="B36" s="51" t="s">
        <v>223</v>
      </c>
      <c r="C36" s="574">
        <v>29053493</v>
      </c>
      <c r="D36" s="666">
        <v>32728493</v>
      </c>
      <c r="E36" s="556"/>
    </row>
    <row r="37" spans="2:5" ht="15" customHeight="1">
      <c r="B37" s="51" t="s">
        <v>224</v>
      </c>
      <c r="C37" s="574">
        <v>35063422</v>
      </c>
      <c r="D37" s="666">
        <v>34903290</v>
      </c>
      <c r="E37" s="556"/>
    </row>
    <row r="38" spans="2:5" ht="15" customHeight="1">
      <c r="B38" s="51" t="s">
        <v>225</v>
      </c>
      <c r="C38" s="677">
        <v>0</v>
      </c>
      <c r="D38" s="666">
        <v>92450</v>
      </c>
      <c r="E38" s="556"/>
    </row>
    <row r="39" spans="2:5" ht="12.75">
      <c r="B39" s="560" t="s">
        <v>226</v>
      </c>
      <c r="C39" s="575">
        <v>2395748</v>
      </c>
      <c r="D39" s="666">
        <v>454125</v>
      </c>
      <c r="E39" s="556"/>
    </row>
    <row r="40" spans="2:5" ht="13.5" thickBot="1">
      <c r="B40" s="61"/>
      <c r="C40" s="678">
        <v>66512663</v>
      </c>
      <c r="D40" s="668">
        <v>68178358</v>
      </c>
      <c r="E40" s="557"/>
    </row>
    <row r="41" spans="2:5" ht="13.5" thickTop="1">
      <c r="B41" s="51"/>
      <c r="C41" s="367"/>
      <c r="D41" s="679"/>
      <c r="E41" s="556"/>
    </row>
    <row r="42" spans="2:5" ht="12.75">
      <c r="B42" s="49" t="s">
        <v>278</v>
      </c>
      <c r="C42" s="671"/>
      <c r="D42" s="666"/>
      <c r="E42" s="556"/>
    </row>
    <row r="43" spans="2:5" ht="12.75">
      <c r="B43" s="49" t="s">
        <v>340</v>
      </c>
      <c r="C43" s="671"/>
      <c r="D43" s="666"/>
      <c r="E43" s="556"/>
    </row>
    <row r="44" spans="2:5" ht="12.75">
      <c r="B44" s="51" t="s">
        <v>573</v>
      </c>
      <c r="C44" s="367"/>
      <c r="D44" s="666"/>
      <c r="E44" s="556"/>
    </row>
    <row r="45" spans="2:5" ht="12.75">
      <c r="B45" s="41" t="s">
        <v>457</v>
      </c>
      <c r="C45" s="418">
        <v>3411927</v>
      </c>
      <c r="D45" s="666">
        <v>2354663</v>
      </c>
      <c r="E45" s="556"/>
    </row>
    <row r="46" spans="2:5" ht="12.75">
      <c r="B46" s="41" t="s">
        <v>491</v>
      </c>
      <c r="C46" s="418">
        <v>263217</v>
      </c>
      <c r="D46" s="666">
        <v>234760</v>
      </c>
      <c r="E46" s="556"/>
    </row>
    <row r="47" spans="2:6" ht="12.75">
      <c r="B47" s="41" t="s">
        <v>490</v>
      </c>
      <c r="C47" s="418">
        <v>5055584</v>
      </c>
      <c r="D47" s="666">
        <v>4167262</v>
      </c>
      <c r="E47" s="556"/>
      <c r="F47" s="511"/>
    </row>
    <row r="48" spans="2:5" ht="12.75">
      <c r="B48" s="41"/>
      <c r="C48" s="418"/>
      <c r="D48" s="666"/>
      <c r="E48" s="556"/>
    </row>
    <row r="49" spans="2:5" ht="12.75">
      <c r="B49" s="224"/>
      <c r="C49" s="680">
        <v>8730728</v>
      </c>
      <c r="D49" s="680">
        <v>6756685</v>
      </c>
      <c r="E49" s="557"/>
    </row>
    <row r="50" spans="1:5" ht="12.75">
      <c r="A50" s="576"/>
      <c r="B50" s="366"/>
      <c r="C50" s="366"/>
      <c r="D50" s="366"/>
      <c r="E50" s="556"/>
    </row>
    <row r="51" spans="5:6" ht="12.75">
      <c r="E51" s="557"/>
      <c r="F51" s="563"/>
    </row>
    <row r="52" ht="12.75">
      <c r="F52" s="563"/>
    </row>
  </sheetData>
  <sheetProtection/>
  <printOptions/>
  <pageMargins left="0.97" right="0.75" top="1.19" bottom="0.75" header="1.14" footer="0.3"/>
  <pageSetup fitToHeight="1" fitToWidth="1" horizontalDpi="600" verticalDpi="600" orientation="portrait" scale="10"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B2:O43"/>
  <sheetViews>
    <sheetView zoomScaleSheetLayoutView="100" zoomScalePageLayoutView="0" workbookViewId="0" topLeftCell="A1">
      <selection activeCell="F30" sqref="F30"/>
    </sheetView>
  </sheetViews>
  <sheetFormatPr defaultColWidth="9.140625" defaultRowHeight="12.75"/>
  <cols>
    <col min="1" max="1" width="3.28125" style="1" customWidth="1"/>
    <col min="2" max="2" width="5.421875" style="1" customWidth="1"/>
    <col min="3" max="3" width="23.7109375" style="1" customWidth="1"/>
    <col min="4" max="4" width="0.42578125" style="1" hidden="1" customWidth="1"/>
    <col min="5" max="5" width="16.140625" style="1" customWidth="1"/>
    <col min="6" max="6" width="15.00390625" style="1" customWidth="1"/>
    <col min="7" max="7" width="14.8515625" style="1" customWidth="1"/>
    <col min="8" max="8" width="16.7109375" style="1" customWidth="1"/>
    <col min="9" max="9" width="16.421875" style="1" customWidth="1"/>
    <col min="10" max="10" width="13.421875" style="1" customWidth="1"/>
    <col min="11" max="11" width="15.00390625" style="1" customWidth="1"/>
    <col min="12" max="12" width="16.421875" style="1" customWidth="1"/>
    <col min="13" max="13" width="15.421875" style="1" customWidth="1"/>
    <col min="14" max="14" width="15.140625" style="1" customWidth="1"/>
    <col min="15" max="15" width="13.421875" style="1" bestFit="1" customWidth="1"/>
    <col min="16" max="16384" width="9.140625" style="1" customWidth="1"/>
  </cols>
  <sheetData>
    <row r="2" spans="2:14" ht="12.75">
      <c r="B2" s="783" t="s">
        <v>447</v>
      </c>
      <c r="C2" s="784"/>
      <c r="D2" s="784"/>
      <c r="E2" s="784"/>
      <c r="F2" s="784"/>
      <c r="G2" s="784"/>
      <c r="H2" s="784"/>
      <c r="I2" s="784"/>
      <c r="J2" s="784"/>
      <c r="K2" s="784"/>
      <c r="L2" s="784"/>
      <c r="M2" s="784"/>
      <c r="N2" s="785"/>
    </row>
    <row r="3" spans="2:14" ht="12.75">
      <c r="B3" s="64" t="s">
        <v>461</v>
      </c>
      <c r="C3" s="11"/>
      <c r="D3" s="11"/>
      <c r="E3" s="11"/>
      <c r="F3" s="77"/>
      <c r="G3" s="235"/>
      <c r="H3" s="236"/>
      <c r="I3" s="235"/>
      <c r="J3" s="235"/>
      <c r="K3" s="235"/>
      <c r="L3" s="235"/>
      <c r="M3" s="4"/>
      <c r="N3" s="583" t="s">
        <v>295</v>
      </c>
    </row>
    <row r="4" spans="2:14" ht="12.75">
      <c r="B4" s="584"/>
      <c r="C4" s="35"/>
      <c r="D4" s="35"/>
      <c r="E4" s="35"/>
      <c r="F4" s="585"/>
      <c r="G4" s="586"/>
      <c r="H4" s="587"/>
      <c r="I4" s="586"/>
      <c r="J4" s="586"/>
      <c r="K4" s="586"/>
      <c r="L4" s="586"/>
      <c r="M4" s="588"/>
      <c r="N4" s="589"/>
    </row>
    <row r="5" spans="2:14" ht="12.75" customHeight="1">
      <c r="B5" s="810" t="s">
        <v>333</v>
      </c>
      <c r="C5" s="812" t="s">
        <v>325</v>
      </c>
      <c r="D5" s="810" t="s">
        <v>334</v>
      </c>
      <c r="E5" s="812" t="s">
        <v>326</v>
      </c>
      <c r="F5" s="812"/>
      <c r="G5" s="812"/>
      <c r="H5" s="812"/>
      <c r="I5" s="812" t="s">
        <v>327</v>
      </c>
      <c r="J5" s="812"/>
      <c r="K5" s="812"/>
      <c r="L5" s="812"/>
      <c r="M5" s="812" t="s">
        <v>328</v>
      </c>
      <c r="N5" s="812"/>
    </row>
    <row r="6" spans="2:14" ht="39" thickBot="1">
      <c r="B6" s="811"/>
      <c r="C6" s="577"/>
      <c r="D6" s="811"/>
      <c r="E6" s="577" t="s">
        <v>536</v>
      </c>
      <c r="F6" s="577" t="s">
        <v>215</v>
      </c>
      <c r="G6" s="577" t="s">
        <v>362</v>
      </c>
      <c r="H6" s="577" t="s">
        <v>535</v>
      </c>
      <c r="I6" s="577" t="s">
        <v>536</v>
      </c>
      <c r="J6" s="577" t="s">
        <v>329</v>
      </c>
      <c r="K6" s="577" t="s">
        <v>537</v>
      </c>
      <c r="L6" s="577" t="s">
        <v>535</v>
      </c>
      <c r="M6" s="577" t="s">
        <v>535</v>
      </c>
      <c r="N6" s="577" t="s">
        <v>538</v>
      </c>
    </row>
    <row r="7" spans="2:14" ht="13.5" thickTop="1">
      <c r="B7" s="65"/>
      <c r="C7" s="66" t="s">
        <v>330</v>
      </c>
      <c r="D7" s="66"/>
      <c r="E7" s="67"/>
      <c r="F7" s="67"/>
      <c r="G7" s="67"/>
      <c r="H7" s="67"/>
      <c r="I7" s="67"/>
      <c r="J7" s="67"/>
      <c r="K7" s="67"/>
      <c r="L7" s="67"/>
      <c r="M7" s="67"/>
      <c r="N7" s="67"/>
    </row>
    <row r="8" spans="2:14" ht="12.75">
      <c r="B8" s="68"/>
      <c r="C8" s="69"/>
      <c r="D8" s="69"/>
      <c r="E8" s="70"/>
      <c r="F8" s="70"/>
      <c r="G8" s="70"/>
      <c r="H8" s="70"/>
      <c r="I8" s="70"/>
      <c r="J8" s="70"/>
      <c r="K8" s="70"/>
      <c r="L8" s="70"/>
      <c r="M8" s="70"/>
      <c r="N8" s="70"/>
    </row>
    <row r="9" spans="2:14" ht="18.75" customHeight="1">
      <c r="B9" s="71">
        <v>1</v>
      </c>
      <c r="C9" s="72" t="s">
        <v>331</v>
      </c>
      <c r="D9" s="72"/>
      <c r="E9" s="73">
        <v>271143</v>
      </c>
      <c r="F9" s="73">
        <v>0</v>
      </c>
      <c r="G9" s="73">
        <v>0</v>
      </c>
      <c r="H9" s="73">
        <v>271143</v>
      </c>
      <c r="I9" s="73">
        <v>0</v>
      </c>
      <c r="J9" s="73">
        <v>0</v>
      </c>
      <c r="K9" s="73">
        <v>0</v>
      </c>
      <c r="L9" s="73">
        <v>0</v>
      </c>
      <c r="M9" s="73">
        <v>271143</v>
      </c>
      <c r="N9" s="73">
        <v>271143</v>
      </c>
    </row>
    <row r="10" spans="2:15" ht="18.75" customHeight="1">
      <c r="B10" s="71">
        <v>2</v>
      </c>
      <c r="C10" s="72" t="s">
        <v>428</v>
      </c>
      <c r="D10" s="72"/>
      <c r="E10" s="73">
        <v>30185416</v>
      </c>
      <c r="F10" s="73">
        <v>0</v>
      </c>
      <c r="G10" s="73">
        <v>0</v>
      </c>
      <c r="H10" s="73">
        <v>30185416</v>
      </c>
      <c r="I10" s="73">
        <v>17103597</v>
      </c>
      <c r="J10" s="578">
        <v>1008193</v>
      </c>
      <c r="K10" s="73">
        <v>0</v>
      </c>
      <c r="L10" s="73">
        <v>18111790</v>
      </c>
      <c r="M10" s="73">
        <v>12073626</v>
      </c>
      <c r="N10" s="73">
        <v>13081819</v>
      </c>
      <c r="O10" s="222"/>
    </row>
    <row r="11" spans="2:15" ht="18.75" customHeight="1">
      <c r="B11" s="71">
        <v>3</v>
      </c>
      <c r="C11" s="72" t="s">
        <v>429</v>
      </c>
      <c r="D11" s="72"/>
      <c r="E11" s="73">
        <v>5486693</v>
      </c>
      <c r="F11" s="73">
        <v>0</v>
      </c>
      <c r="G11" s="73">
        <v>0</v>
      </c>
      <c r="H11" s="73">
        <v>5486693</v>
      </c>
      <c r="I11" s="73">
        <v>5486693</v>
      </c>
      <c r="J11" s="578">
        <v>0</v>
      </c>
      <c r="K11" s="73">
        <v>0</v>
      </c>
      <c r="L11" s="73">
        <v>5486693</v>
      </c>
      <c r="M11" s="73">
        <v>0</v>
      </c>
      <c r="N11" s="73">
        <v>0</v>
      </c>
      <c r="O11" s="222"/>
    </row>
    <row r="12" spans="2:15" ht="18.75" customHeight="1">
      <c r="B12" s="71">
        <v>4</v>
      </c>
      <c r="C12" s="72" t="s">
        <v>432</v>
      </c>
      <c r="D12" s="72"/>
      <c r="E12" s="73">
        <v>130602603</v>
      </c>
      <c r="F12" s="73">
        <v>20264372</v>
      </c>
      <c r="G12" s="73">
        <v>15313266</v>
      </c>
      <c r="H12" s="73">
        <v>135553709</v>
      </c>
      <c r="I12" s="73">
        <v>98781381</v>
      </c>
      <c r="J12" s="578">
        <v>6453959</v>
      </c>
      <c r="K12" s="73">
        <v>13400110</v>
      </c>
      <c r="L12" s="73">
        <v>91835230</v>
      </c>
      <c r="M12" s="73">
        <v>43718479</v>
      </c>
      <c r="N12" s="73">
        <v>31821222</v>
      </c>
      <c r="O12" s="222"/>
    </row>
    <row r="13" spans="2:15" ht="18.75" customHeight="1">
      <c r="B13" s="71">
        <v>5</v>
      </c>
      <c r="C13" s="72" t="s">
        <v>430</v>
      </c>
      <c r="D13" s="72"/>
      <c r="E13" s="73">
        <v>1312334</v>
      </c>
      <c r="F13" s="73">
        <v>156163</v>
      </c>
      <c r="G13" s="73">
        <v>0</v>
      </c>
      <c r="H13" s="73">
        <v>1468497</v>
      </c>
      <c r="I13" s="73">
        <v>417710</v>
      </c>
      <c r="J13" s="578">
        <v>64723</v>
      </c>
      <c r="K13" s="73">
        <v>0</v>
      </c>
      <c r="L13" s="73">
        <v>482433</v>
      </c>
      <c r="M13" s="73">
        <v>986064</v>
      </c>
      <c r="N13" s="73">
        <v>894624</v>
      </c>
      <c r="O13" s="222"/>
    </row>
    <row r="14" spans="2:15" ht="18.75" customHeight="1">
      <c r="B14" s="71">
        <v>6</v>
      </c>
      <c r="C14" s="72" t="s">
        <v>364</v>
      </c>
      <c r="D14" s="72"/>
      <c r="E14" s="73">
        <v>515961</v>
      </c>
      <c r="F14" s="73">
        <v>0</v>
      </c>
      <c r="G14" s="73">
        <v>0</v>
      </c>
      <c r="H14" s="73">
        <v>515961</v>
      </c>
      <c r="I14" s="73">
        <v>54456</v>
      </c>
      <c r="J14" s="578">
        <v>24508</v>
      </c>
      <c r="K14" s="73">
        <v>0</v>
      </c>
      <c r="L14" s="73">
        <v>78964</v>
      </c>
      <c r="M14" s="73">
        <v>436997</v>
      </c>
      <c r="N14" s="73">
        <v>461505</v>
      </c>
      <c r="O14" s="222"/>
    </row>
    <row r="15" spans="2:15" ht="18.75" customHeight="1">
      <c r="B15" s="71">
        <v>7</v>
      </c>
      <c r="C15" s="72" t="s">
        <v>492</v>
      </c>
      <c r="D15" s="72"/>
      <c r="E15" s="73">
        <v>359149</v>
      </c>
      <c r="F15" s="222">
        <v>8300</v>
      </c>
      <c r="G15" s="73">
        <v>0</v>
      </c>
      <c r="H15" s="73">
        <v>367449</v>
      </c>
      <c r="I15" s="73">
        <v>305378</v>
      </c>
      <c r="J15" s="579">
        <v>36314</v>
      </c>
      <c r="K15" s="73">
        <v>0</v>
      </c>
      <c r="L15" s="73">
        <v>341692</v>
      </c>
      <c r="M15" s="73">
        <v>25757</v>
      </c>
      <c r="N15" s="73">
        <v>53771</v>
      </c>
      <c r="O15" s="222"/>
    </row>
    <row r="16" spans="2:15" ht="18.75" customHeight="1">
      <c r="B16" s="71">
        <v>8</v>
      </c>
      <c r="C16" s="72" t="s">
        <v>332</v>
      </c>
      <c r="D16" s="72"/>
      <c r="E16" s="73">
        <v>331518</v>
      </c>
      <c r="F16" s="73">
        <v>0</v>
      </c>
      <c r="G16" s="73">
        <v>0</v>
      </c>
      <c r="H16" s="73">
        <v>331518</v>
      </c>
      <c r="I16" s="73">
        <v>331517</v>
      </c>
      <c r="J16" s="578">
        <v>0</v>
      </c>
      <c r="K16" s="73">
        <v>0</v>
      </c>
      <c r="L16" s="73">
        <v>331517</v>
      </c>
      <c r="M16" s="73">
        <v>1</v>
      </c>
      <c r="N16" s="73">
        <v>1</v>
      </c>
      <c r="O16" s="222"/>
    </row>
    <row r="17" spans="2:15" ht="18.75" customHeight="1">
      <c r="B17" s="71">
        <v>9</v>
      </c>
      <c r="C17" s="72" t="s">
        <v>431</v>
      </c>
      <c r="D17" s="72"/>
      <c r="E17" s="73">
        <v>360368</v>
      </c>
      <c r="F17" s="73">
        <v>111752</v>
      </c>
      <c r="G17" s="73">
        <v>0</v>
      </c>
      <c r="H17" s="73">
        <v>472120</v>
      </c>
      <c r="I17" s="73">
        <v>206134</v>
      </c>
      <c r="J17" s="578">
        <v>18350</v>
      </c>
      <c r="K17" s="73">
        <v>0</v>
      </c>
      <c r="L17" s="73">
        <v>224484</v>
      </c>
      <c r="M17" s="73">
        <v>247636</v>
      </c>
      <c r="N17" s="73">
        <v>154234</v>
      </c>
      <c r="O17" s="222"/>
    </row>
    <row r="18" spans="2:14" ht="12.75">
      <c r="B18" s="71"/>
      <c r="C18" s="72"/>
      <c r="D18" s="74"/>
      <c r="E18" s="73"/>
      <c r="F18" s="73"/>
      <c r="G18" s="73"/>
      <c r="H18" s="73"/>
      <c r="I18" s="73"/>
      <c r="J18" s="578"/>
      <c r="K18" s="73"/>
      <c r="L18" s="73"/>
      <c r="M18" s="73"/>
      <c r="N18" s="73"/>
    </row>
    <row r="19" spans="2:15" s="3" customFormat="1" ht="12.75">
      <c r="B19" s="747"/>
      <c r="C19" s="76" t="s">
        <v>285</v>
      </c>
      <c r="D19" s="237"/>
      <c r="E19" s="748">
        <v>169425185</v>
      </c>
      <c r="F19" s="749">
        <v>20540587</v>
      </c>
      <c r="G19" s="749">
        <v>15313266</v>
      </c>
      <c r="H19" s="749">
        <v>174652506</v>
      </c>
      <c r="I19" s="749">
        <v>122686866</v>
      </c>
      <c r="J19" s="750">
        <v>7606047</v>
      </c>
      <c r="K19" s="750">
        <v>13400110</v>
      </c>
      <c r="L19" s="750">
        <v>116892803</v>
      </c>
      <c r="M19" s="750">
        <v>57759703</v>
      </c>
      <c r="N19" s="750">
        <v>46738319</v>
      </c>
      <c r="O19" s="751"/>
    </row>
    <row r="20" spans="2:15" ht="12.75">
      <c r="B20" s="744"/>
      <c r="C20" s="824"/>
      <c r="D20" s="824"/>
      <c r="E20" s="825"/>
      <c r="F20" s="824"/>
      <c r="G20" s="824"/>
      <c r="H20" s="825"/>
      <c r="I20" s="825"/>
      <c r="J20" s="826"/>
      <c r="K20" s="826"/>
      <c r="L20" s="826"/>
      <c r="M20" s="826"/>
      <c r="N20" s="826"/>
      <c r="O20" s="4"/>
    </row>
    <row r="21" spans="2:15" s="3" customFormat="1" ht="12.75">
      <c r="B21" s="746"/>
      <c r="C21" s="827" t="s">
        <v>531</v>
      </c>
      <c r="D21" s="827"/>
      <c r="E21" s="828">
        <v>185830323.68</v>
      </c>
      <c r="F21" s="827">
        <v>5346839</v>
      </c>
      <c r="G21" s="827">
        <v>21751978</v>
      </c>
      <c r="H21" s="828">
        <v>169425184.68</v>
      </c>
      <c r="I21" s="828">
        <v>133609014.953575</v>
      </c>
      <c r="J21" s="829">
        <v>7680204.7526255455</v>
      </c>
      <c r="K21" s="829">
        <v>18602354.683320776</v>
      </c>
      <c r="L21" s="829">
        <v>122686866.02288</v>
      </c>
      <c r="M21" s="829">
        <v>46738318.6571202</v>
      </c>
      <c r="N21" s="829">
        <v>52221308.72642499</v>
      </c>
      <c r="O21" s="507"/>
    </row>
    <row r="22" spans="2:15" ht="12.75">
      <c r="B22" s="745"/>
      <c r="C22" s="830"/>
      <c r="D22" s="830"/>
      <c r="E22" s="831"/>
      <c r="F22" s="830"/>
      <c r="G22" s="830"/>
      <c r="H22" s="831"/>
      <c r="I22" s="831"/>
      <c r="J22" s="832"/>
      <c r="K22" s="832"/>
      <c r="L22" s="832"/>
      <c r="M22" s="832"/>
      <c r="N22" s="832"/>
      <c r="O22" s="4"/>
    </row>
    <row r="23" spans="3:9" ht="13.5">
      <c r="C23" s="305"/>
      <c r="D23" s="270"/>
      <c r="F23" s="306"/>
      <c r="G23" s="272"/>
      <c r="H23" s="270"/>
      <c r="I23" s="310"/>
    </row>
    <row r="24" spans="3:9" ht="13.5">
      <c r="C24" s="273"/>
      <c r="D24" s="270"/>
      <c r="E24" s="270"/>
      <c r="F24" s="306"/>
      <c r="G24" s="272"/>
      <c r="H24" s="270"/>
      <c r="I24" s="310"/>
    </row>
    <row r="25" spans="3:9" ht="13.5">
      <c r="C25" s="273"/>
      <c r="D25" s="270"/>
      <c r="E25" s="270"/>
      <c r="F25" s="306"/>
      <c r="G25" s="272"/>
      <c r="H25" s="270"/>
      <c r="I25" s="310"/>
    </row>
    <row r="26" spans="3:9" ht="13.5">
      <c r="C26" s="273"/>
      <c r="D26" s="270"/>
      <c r="E26" s="270"/>
      <c r="F26" s="306"/>
      <c r="G26" s="272"/>
      <c r="I26" s="310"/>
    </row>
    <row r="27" spans="3:9" ht="13.5">
      <c r="C27" s="273"/>
      <c r="D27" s="270"/>
      <c r="E27" s="270"/>
      <c r="F27" s="306"/>
      <c r="G27" s="272"/>
      <c r="H27" s="270"/>
      <c r="I27" s="310"/>
    </row>
    <row r="28" spans="3:9" ht="13.5">
      <c r="C28" s="270"/>
      <c r="D28" s="270"/>
      <c r="E28" s="270"/>
      <c r="F28" s="270"/>
      <c r="G28" s="270"/>
      <c r="H28" s="270"/>
      <c r="I28" s="310"/>
    </row>
    <row r="29" spans="3:9" ht="13.5">
      <c r="C29" s="270"/>
      <c r="D29" s="270"/>
      <c r="E29" s="274"/>
      <c r="F29" s="270"/>
      <c r="G29" s="274"/>
      <c r="H29" s="270"/>
      <c r="I29" s="310"/>
    </row>
    <row r="30" spans="3:9" ht="13.5">
      <c r="C30" s="270"/>
      <c r="D30" s="270"/>
      <c r="E30" s="274"/>
      <c r="F30" s="274"/>
      <c r="G30" s="270"/>
      <c r="H30" s="270"/>
      <c r="I30" s="310"/>
    </row>
    <row r="31" spans="3:9" ht="13.5">
      <c r="C31" s="271"/>
      <c r="D31" s="270"/>
      <c r="E31" s="274"/>
      <c r="F31" s="274"/>
      <c r="G31" s="272"/>
      <c r="H31" s="270"/>
      <c r="I31" s="310"/>
    </row>
    <row r="32" spans="3:9" ht="13.5">
      <c r="C32" s="273"/>
      <c r="D32" s="270"/>
      <c r="E32" s="270"/>
      <c r="F32" s="270"/>
      <c r="G32" s="272"/>
      <c r="H32" s="270"/>
      <c r="I32" s="310"/>
    </row>
    <row r="33" spans="3:9" ht="13.5">
      <c r="C33" s="273"/>
      <c r="D33" s="270"/>
      <c r="E33" s="270"/>
      <c r="F33" s="270"/>
      <c r="G33" s="272"/>
      <c r="H33" s="270"/>
      <c r="I33" s="310"/>
    </row>
    <row r="34" spans="3:9" ht="13.5">
      <c r="C34" s="270"/>
      <c r="D34" s="270"/>
      <c r="E34" s="270"/>
      <c r="F34" s="270"/>
      <c r="G34" s="270"/>
      <c r="H34" s="270"/>
      <c r="I34" s="310"/>
    </row>
    <row r="35" spans="3:9" ht="13.5">
      <c r="C35" s="270"/>
      <c r="D35" s="270"/>
      <c r="E35" s="274"/>
      <c r="F35" s="270"/>
      <c r="G35" s="274"/>
      <c r="H35" s="270"/>
      <c r="I35" s="310"/>
    </row>
    <row r="36" spans="3:9" ht="13.5">
      <c r="C36" s="270"/>
      <c r="D36" s="270"/>
      <c r="E36" s="270"/>
      <c r="F36" s="270"/>
      <c r="G36" s="270"/>
      <c r="H36" s="270"/>
      <c r="I36" s="310"/>
    </row>
    <row r="37" spans="3:9" ht="13.5">
      <c r="C37" s="270"/>
      <c r="D37" s="270"/>
      <c r="E37" s="270"/>
      <c r="F37" s="270"/>
      <c r="G37" s="270"/>
      <c r="H37" s="270"/>
      <c r="I37" s="310"/>
    </row>
    <row r="38" spans="3:9" ht="13.5">
      <c r="C38" s="271"/>
      <c r="D38" s="270"/>
      <c r="E38" s="274"/>
      <c r="F38" s="274"/>
      <c r="G38" s="272"/>
      <c r="H38" s="270"/>
      <c r="I38" s="310"/>
    </row>
    <row r="39" spans="3:9" ht="13.5">
      <c r="C39" s="305"/>
      <c r="F39" s="270"/>
      <c r="G39" s="272"/>
      <c r="H39" s="270"/>
      <c r="I39" s="310"/>
    </row>
    <row r="40" spans="3:9" ht="13.5">
      <c r="C40" s="305"/>
      <c r="D40" s="270"/>
      <c r="F40" s="270"/>
      <c r="G40" s="272"/>
      <c r="H40" s="270"/>
      <c r="I40" s="310"/>
    </row>
    <row r="41" spans="3:9" ht="13.5">
      <c r="C41" s="305"/>
      <c r="D41" s="270"/>
      <c r="F41" s="270"/>
      <c r="G41" s="272"/>
      <c r="H41" s="270"/>
      <c r="I41" s="310"/>
    </row>
    <row r="42" spans="3:8" ht="13.5">
      <c r="C42" s="270"/>
      <c r="D42" s="270"/>
      <c r="E42" s="270"/>
      <c r="F42" s="270"/>
      <c r="G42" s="270"/>
      <c r="H42" s="270"/>
    </row>
    <row r="43" spans="3:8" ht="13.5">
      <c r="C43" s="270"/>
      <c r="D43" s="270"/>
      <c r="E43" s="274"/>
      <c r="F43" s="274"/>
      <c r="G43" s="272"/>
      <c r="H43" s="270"/>
    </row>
  </sheetData>
  <sheetProtection/>
  <printOptions horizontalCentered="1"/>
  <pageMargins left="0.31" right="0.83" top="0.86" bottom="0.196850393700787" header="0.236220472440945" footer="0.16"/>
  <pageSetup fitToHeight="1"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EP48"/>
  <sheetViews>
    <sheetView zoomScalePageLayoutView="0" workbookViewId="0" topLeftCell="A34">
      <selection activeCell="B2" sqref="B2:D48"/>
    </sheetView>
  </sheetViews>
  <sheetFormatPr defaultColWidth="9.140625" defaultRowHeight="12.75"/>
  <cols>
    <col min="1" max="1" width="3.00390625" style="318" customWidth="1"/>
    <col min="2" max="2" width="58.00390625" style="318" customWidth="1"/>
    <col min="3" max="3" width="18.140625" style="318" customWidth="1"/>
    <col min="4" max="4" width="18.28125" style="318" customWidth="1"/>
    <col min="5" max="5" width="3.421875" style="318" customWidth="1"/>
    <col min="6" max="6" width="12.00390625" style="318" customWidth="1"/>
    <col min="7" max="7" width="11.8515625" style="318" bestFit="1" customWidth="1"/>
    <col min="8" max="146" width="9.140625" style="318" customWidth="1"/>
    <col min="147" max="16384" width="9.140625" style="319" customWidth="1"/>
  </cols>
  <sheetData>
    <row r="1" spans="1:146" s="315" customFormat="1" ht="12.75">
      <c r="A1" s="314"/>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314"/>
      <c r="CN1" s="314"/>
      <c r="CO1" s="314"/>
      <c r="CP1" s="314"/>
      <c r="CQ1" s="314"/>
      <c r="CR1" s="314"/>
      <c r="CS1" s="314"/>
      <c r="CT1" s="314"/>
      <c r="CU1" s="314"/>
      <c r="CV1" s="314"/>
      <c r="CW1" s="314"/>
      <c r="CX1" s="314"/>
      <c r="CY1" s="314"/>
      <c r="CZ1" s="314"/>
      <c r="DA1" s="314"/>
      <c r="DB1" s="314"/>
      <c r="DC1" s="314"/>
      <c r="DD1" s="314"/>
      <c r="DE1" s="314"/>
      <c r="DF1" s="314"/>
      <c r="DG1" s="314"/>
      <c r="DH1" s="314"/>
      <c r="DI1" s="314"/>
      <c r="DJ1" s="314"/>
      <c r="DK1" s="314"/>
      <c r="DL1" s="314"/>
      <c r="DM1" s="314"/>
      <c r="DN1" s="314"/>
      <c r="DO1" s="314"/>
      <c r="DP1" s="314"/>
      <c r="DQ1" s="314"/>
      <c r="DR1" s="314"/>
      <c r="DS1" s="314"/>
      <c r="DT1" s="314"/>
      <c r="DU1" s="314"/>
      <c r="DV1" s="314"/>
      <c r="DW1" s="314"/>
      <c r="DX1" s="314"/>
      <c r="DY1" s="314"/>
      <c r="DZ1" s="314"/>
      <c r="EA1" s="314"/>
      <c r="EB1" s="314"/>
      <c r="EC1" s="314"/>
      <c r="ED1" s="314"/>
      <c r="EE1" s="314"/>
      <c r="EF1" s="314"/>
      <c r="EG1" s="314"/>
      <c r="EH1" s="314"/>
      <c r="EI1" s="314"/>
      <c r="EJ1" s="314"/>
      <c r="EK1" s="314"/>
      <c r="EL1" s="314"/>
      <c r="EM1" s="314"/>
      <c r="EN1" s="314"/>
      <c r="EO1" s="314"/>
      <c r="EP1" s="314"/>
    </row>
    <row r="2" spans="2:14" s="315" customFormat="1" ht="12.75">
      <c r="B2" s="813" t="s">
        <v>447</v>
      </c>
      <c r="C2" s="814"/>
      <c r="D2" s="815"/>
      <c r="E2" s="311"/>
      <c r="F2" s="311"/>
      <c r="G2" s="311"/>
      <c r="H2" s="311"/>
      <c r="I2" s="311"/>
      <c r="J2" s="311"/>
      <c r="K2" s="311"/>
      <c r="L2" s="311"/>
      <c r="M2" s="311"/>
      <c r="N2" s="316"/>
    </row>
    <row r="3" spans="2:4" s="315" customFormat="1" ht="12.75">
      <c r="B3" s="580"/>
      <c r="C3" s="368"/>
      <c r="D3" s="427"/>
    </row>
    <row r="4" spans="2:4" s="315" customFormat="1" ht="12.75">
      <c r="B4" s="581" t="s">
        <v>323</v>
      </c>
      <c r="C4" s="369"/>
      <c r="D4" s="317" t="s">
        <v>295</v>
      </c>
    </row>
    <row r="5" spans="2:4" ht="38.25">
      <c r="B5" s="661" t="s">
        <v>346</v>
      </c>
      <c r="C5" s="662" t="s">
        <v>170</v>
      </c>
      <c r="D5" s="582" t="s">
        <v>534</v>
      </c>
    </row>
    <row r="6" spans="2:4" ht="12.75">
      <c r="B6" s="330" t="s">
        <v>462</v>
      </c>
      <c r="C6" s="330"/>
      <c r="D6" s="276"/>
    </row>
    <row r="7" spans="2:4" ht="12.75">
      <c r="B7" s="330" t="s">
        <v>341</v>
      </c>
      <c r="C7" s="330"/>
      <c r="D7" s="276"/>
    </row>
    <row r="8" spans="2:4" ht="12.75">
      <c r="B8" s="331" t="s">
        <v>561</v>
      </c>
      <c r="C8" s="331"/>
      <c r="D8" s="276"/>
    </row>
    <row r="9" spans="2:4" ht="12.75" customHeight="1" hidden="1">
      <c r="B9" s="332" t="s">
        <v>516</v>
      </c>
      <c r="C9" s="332"/>
      <c r="D9" s="276"/>
    </row>
    <row r="10" spans="2:4" ht="12.75" customHeight="1" hidden="1">
      <c r="B10" s="333" t="s">
        <v>376</v>
      </c>
      <c r="C10" s="663">
        <v>0</v>
      </c>
      <c r="D10" s="276">
        <v>0</v>
      </c>
    </row>
    <row r="11" spans="2:4" ht="12.75" customHeight="1" hidden="1">
      <c r="B11" s="333"/>
      <c r="C11" s="333"/>
      <c r="D11" s="276"/>
    </row>
    <row r="12" spans="2:4" ht="12.75">
      <c r="B12" s="332" t="s">
        <v>560</v>
      </c>
      <c r="C12" s="332"/>
      <c r="D12" s="276"/>
    </row>
    <row r="13" spans="2:4" ht="12.75">
      <c r="B13" s="333" t="s">
        <v>518</v>
      </c>
      <c r="C13" s="664">
        <v>0</v>
      </c>
      <c r="D13" s="681">
        <v>825000</v>
      </c>
    </row>
    <row r="14" spans="2:4" ht="12.75">
      <c r="B14" s="333" t="s">
        <v>403</v>
      </c>
      <c r="C14" s="663">
        <v>1867591</v>
      </c>
      <c r="D14" s="681">
        <v>1862388</v>
      </c>
    </row>
    <row r="15" spans="2:6" ht="12.75">
      <c r="B15" s="333" t="s">
        <v>404</v>
      </c>
      <c r="C15" s="663">
        <v>183462</v>
      </c>
      <c r="D15" s="681">
        <v>103200</v>
      </c>
      <c r="F15" s="555"/>
    </row>
    <row r="16" spans="2:4" ht="12.75">
      <c r="B16" s="334"/>
      <c r="C16" s="680">
        <v>2051053</v>
      </c>
      <c r="D16" s="682">
        <v>2790588</v>
      </c>
    </row>
    <row r="17" spans="2:4" ht="12.75">
      <c r="B17" s="330" t="s">
        <v>463</v>
      </c>
      <c r="C17" s="683"/>
      <c r="D17" s="681"/>
    </row>
    <row r="18" spans="2:4" ht="12.75">
      <c r="B18" s="330" t="s">
        <v>342</v>
      </c>
      <c r="C18" s="683"/>
      <c r="D18" s="681"/>
    </row>
    <row r="19" spans="2:4" ht="12.75">
      <c r="B19" s="333" t="s">
        <v>417</v>
      </c>
      <c r="C19" s="684">
        <v>10063893</v>
      </c>
      <c r="D19" s="681">
        <v>10355695</v>
      </c>
    </row>
    <row r="20" spans="2:4" ht="12.75">
      <c r="B20" s="333" t="s">
        <v>445</v>
      </c>
      <c r="C20" s="684">
        <v>340066</v>
      </c>
      <c r="D20" s="681">
        <v>2212652</v>
      </c>
    </row>
    <row r="21" spans="2:4" ht="12.75">
      <c r="B21" s="333" t="s">
        <v>408</v>
      </c>
      <c r="C21" s="684">
        <v>32871828</v>
      </c>
      <c r="D21" s="681">
        <v>20255708</v>
      </c>
    </row>
    <row r="22" spans="2:4" ht="12.75">
      <c r="B22" s="333" t="s">
        <v>409</v>
      </c>
      <c r="C22" s="684">
        <v>8936241</v>
      </c>
      <c r="D22" s="681">
        <v>6319891</v>
      </c>
    </row>
    <row r="23" spans="2:4" ht="12.75">
      <c r="B23" s="333" t="s">
        <v>410</v>
      </c>
      <c r="C23" s="684">
        <v>4042220</v>
      </c>
      <c r="D23" s="681">
        <v>5216825</v>
      </c>
    </row>
    <row r="24" spans="2:4" ht="12.75">
      <c r="B24" s="333" t="s">
        <v>227</v>
      </c>
      <c r="C24" s="684">
        <v>61818</v>
      </c>
      <c r="D24" s="681">
        <v>0</v>
      </c>
    </row>
    <row r="25" spans="2:4" ht="13.5" thickBot="1">
      <c r="B25" s="333"/>
      <c r="C25" s="668">
        <v>56316066</v>
      </c>
      <c r="D25" s="685">
        <v>44360771</v>
      </c>
    </row>
    <row r="26" spans="2:4" ht="13.5" thickTop="1">
      <c r="B26" s="330" t="s">
        <v>375</v>
      </c>
      <c r="C26" s="683"/>
      <c r="D26" s="681"/>
    </row>
    <row r="27" spans="2:4" ht="12.75">
      <c r="B27" s="330" t="s">
        <v>343</v>
      </c>
      <c r="C27" s="683"/>
      <c r="D27" s="681"/>
    </row>
    <row r="28" spans="2:4" ht="12.75">
      <c r="B28" s="331" t="s">
        <v>562</v>
      </c>
      <c r="C28" s="686"/>
      <c r="D28" s="681"/>
    </row>
    <row r="29" spans="2:4" ht="18" customHeight="1">
      <c r="B29" s="335" t="s">
        <v>405</v>
      </c>
      <c r="C29" s="687">
        <v>769424</v>
      </c>
      <c r="D29" s="681">
        <v>4632465</v>
      </c>
    </row>
    <row r="30" spans="2:4" ht="12.75">
      <c r="B30" s="335" t="s">
        <v>406</v>
      </c>
      <c r="C30" s="428">
        <v>32186558</v>
      </c>
      <c r="D30" s="688">
        <v>15010764</v>
      </c>
    </row>
    <row r="31" spans="2:4" ht="12.75">
      <c r="B31" s="335"/>
      <c r="C31" s="374">
        <v>32955982</v>
      </c>
      <c r="D31" s="419">
        <v>19643229</v>
      </c>
    </row>
    <row r="32" spans="2:4" ht="13.5" thickBot="1">
      <c r="B32" s="335" t="s">
        <v>449</v>
      </c>
      <c r="C32" s="687">
        <v>769424</v>
      </c>
      <c r="D32" s="681">
        <v>769424</v>
      </c>
    </row>
    <row r="33" spans="2:7" ht="14.25" thickBot="1" thickTop="1">
      <c r="B33" s="333"/>
      <c r="C33" s="689">
        <v>32186558</v>
      </c>
      <c r="D33" s="690">
        <v>18873805</v>
      </c>
      <c r="G33" s="513"/>
    </row>
    <row r="34" spans="2:4" ht="13.5" thickTop="1">
      <c r="B34" s="330" t="s">
        <v>411</v>
      </c>
      <c r="C34" s="683"/>
      <c r="D34" s="691"/>
    </row>
    <row r="35" spans="2:4" ht="12.75">
      <c r="B35" s="330" t="s">
        <v>344</v>
      </c>
      <c r="C35" s="683"/>
      <c r="D35" s="681"/>
    </row>
    <row r="36" spans="2:4" ht="12.75">
      <c r="B36" s="333" t="s">
        <v>539</v>
      </c>
      <c r="C36" s="663">
        <v>1608</v>
      </c>
      <c r="D36" s="681">
        <v>2583</v>
      </c>
    </row>
    <row r="37" spans="2:4" ht="12.75">
      <c r="B37" s="336" t="s">
        <v>418</v>
      </c>
      <c r="C37" s="692">
        <v>116716</v>
      </c>
      <c r="D37" s="681">
        <v>4152901</v>
      </c>
    </row>
    <row r="38" spans="2:4" ht="13.5" thickBot="1">
      <c r="B38" s="333"/>
      <c r="C38" s="668">
        <v>118324</v>
      </c>
      <c r="D38" s="685">
        <v>4155484</v>
      </c>
    </row>
    <row r="39" spans="2:4" ht="13.5" thickTop="1">
      <c r="B39" s="330" t="s">
        <v>412</v>
      </c>
      <c r="C39" s="683"/>
      <c r="D39" s="681"/>
    </row>
    <row r="40" spans="2:4" ht="12.75">
      <c r="B40" s="330" t="s">
        <v>345</v>
      </c>
      <c r="C40" s="683"/>
      <c r="D40" s="681"/>
    </row>
    <row r="41" spans="2:4" ht="12.75">
      <c r="B41" s="333" t="s">
        <v>517</v>
      </c>
      <c r="C41" s="663"/>
      <c r="D41" s="681"/>
    </row>
    <row r="42" spans="2:6" ht="12.75">
      <c r="B42" s="337" t="s">
        <v>450</v>
      </c>
      <c r="C42" s="693">
        <v>716667</v>
      </c>
      <c r="D42" s="681">
        <v>802086</v>
      </c>
      <c r="F42" s="555"/>
    </row>
    <row r="43" spans="2:4" ht="12.75">
      <c r="B43" s="333" t="s">
        <v>348</v>
      </c>
      <c r="C43" s="663">
        <v>596458</v>
      </c>
      <c r="D43" s="681">
        <v>55892</v>
      </c>
    </row>
    <row r="44" spans="2:4" ht="12.75">
      <c r="B44" s="333" t="s">
        <v>466</v>
      </c>
      <c r="C44" s="663">
        <v>6397822</v>
      </c>
      <c r="D44" s="681">
        <v>2346400</v>
      </c>
    </row>
    <row r="45" spans="2:4" ht="12.75">
      <c r="B45" s="333" t="s">
        <v>519</v>
      </c>
      <c r="C45" s="663">
        <v>0</v>
      </c>
      <c r="D45" s="681">
        <v>500</v>
      </c>
    </row>
    <row r="46" spans="2:6" ht="15">
      <c r="B46" s="338" t="s">
        <v>349</v>
      </c>
      <c r="C46" s="694">
        <v>123062</v>
      </c>
      <c r="D46" s="681">
        <v>211984</v>
      </c>
      <c r="F46" s="555"/>
    </row>
    <row r="47" spans="2:4" ht="12.75">
      <c r="B47" s="339"/>
      <c r="C47" s="695">
        <v>7834009</v>
      </c>
      <c r="D47" s="696">
        <v>3416862</v>
      </c>
    </row>
    <row r="48" spans="2:4" ht="12.75">
      <c r="B48" s="320"/>
      <c r="C48" s="590"/>
      <c r="D48" s="591"/>
    </row>
    <row r="49" ht="12.75"/>
    <row r="50" ht="12.75"/>
    <row r="51" ht="12.75"/>
    <row r="52" ht="12.75"/>
    <row r="53" ht="12.75"/>
  </sheetData>
  <sheetProtection/>
  <printOptions/>
  <pageMargins left="0.95" right="1.07" top="1.35" bottom="0.75" header="1.21" footer="0.3"/>
  <pageSetup fitToHeight="1" fitToWidth="1" horizontalDpi="600" verticalDpi="600" orientation="portrait" scale="44"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2:EY107"/>
  <sheetViews>
    <sheetView tabSelected="1" zoomScaleSheetLayoutView="100" zoomScalePageLayoutView="0" workbookViewId="0" topLeftCell="A61">
      <selection activeCell="D94" sqref="D94"/>
    </sheetView>
  </sheetViews>
  <sheetFormatPr defaultColWidth="9.140625" defaultRowHeight="12.75"/>
  <cols>
    <col min="1" max="1" width="3.00390625" style="82" customWidth="1"/>
    <col min="2" max="2" width="50.7109375" style="82" customWidth="1"/>
    <col min="3" max="3" width="18.421875" style="82" customWidth="1"/>
    <col min="4" max="4" width="16.7109375" style="82" customWidth="1"/>
    <col min="5" max="5" width="5.57421875" style="82" hidden="1" customWidth="1"/>
    <col min="6" max="6" width="19.421875" style="82" hidden="1" customWidth="1"/>
    <col min="7" max="7" width="14.8515625" style="372" customWidth="1"/>
    <col min="8" max="8" width="13.7109375" style="82" customWidth="1"/>
    <col min="9" max="9" width="24.28125" style="82" bestFit="1" customWidth="1"/>
    <col min="10" max="12" width="20.8515625" style="82" customWidth="1"/>
    <col min="13" max="13" width="36.140625" style="82" customWidth="1"/>
    <col min="14" max="14" width="12.00390625" style="82" customWidth="1"/>
    <col min="15" max="15" width="12.57421875" style="82" customWidth="1"/>
    <col min="16" max="16" width="8.28125" style="82" customWidth="1"/>
    <col min="17" max="17" width="12.140625" style="82" customWidth="1"/>
    <col min="18" max="38" width="8.28125" style="82" customWidth="1"/>
    <col min="39" max="155" width="9.140625" style="82" customWidth="1"/>
    <col min="156" max="16384" width="9.140625" style="84" customWidth="1"/>
  </cols>
  <sheetData>
    <row r="1" ht="12.75"/>
    <row r="2" spans="1:155" ht="12.75">
      <c r="A2" s="84"/>
      <c r="B2" s="816" t="s">
        <v>447</v>
      </c>
      <c r="C2" s="817"/>
      <c r="D2" s="818"/>
      <c r="E2" s="609"/>
      <c r="F2" s="610"/>
      <c r="G2" s="341"/>
      <c r="H2" s="230"/>
      <c r="I2" s="230"/>
      <c r="J2" s="230"/>
      <c r="K2" s="230"/>
      <c r="L2" s="230"/>
      <c r="M2" s="248"/>
      <c r="N2" s="248"/>
      <c r="O2" s="291"/>
      <c r="P2" s="248"/>
      <c r="Q2" s="292"/>
      <c r="R2" s="230"/>
      <c r="S2" s="230"/>
      <c r="T2" s="230"/>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row>
    <row r="3" spans="1:155" ht="12.75">
      <c r="A3" s="84"/>
      <c r="B3" s="240"/>
      <c r="C3" s="341"/>
      <c r="D3" s="607"/>
      <c r="E3" s="341"/>
      <c r="F3" s="607"/>
      <c r="G3" s="85"/>
      <c r="H3" s="230"/>
      <c r="I3" s="230"/>
      <c r="J3" s="230"/>
      <c r="K3" s="230"/>
      <c r="L3" s="230"/>
      <c r="M3" s="248"/>
      <c r="N3" s="248"/>
      <c r="O3" s="291"/>
      <c r="P3" s="248"/>
      <c r="Q3" s="292"/>
      <c r="R3" s="230"/>
      <c r="S3" s="230"/>
      <c r="T3" s="230"/>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row>
    <row r="4" spans="1:155" ht="12.75">
      <c r="A4" s="84"/>
      <c r="B4" s="395" t="s">
        <v>368</v>
      </c>
      <c r="C4" s="396"/>
      <c r="D4" s="608" t="s">
        <v>295</v>
      </c>
      <c r="E4" s="396"/>
      <c r="F4" s="608"/>
      <c r="G4" s="85"/>
      <c r="H4" s="230"/>
      <c r="I4" s="230"/>
      <c r="J4" s="230"/>
      <c r="K4" s="230"/>
      <c r="L4" s="230"/>
      <c r="M4" s="248"/>
      <c r="N4" s="248"/>
      <c r="O4" s="291"/>
      <c r="P4" s="248"/>
      <c r="Q4" s="292"/>
      <c r="R4" s="230"/>
      <c r="S4" s="230"/>
      <c r="T4" s="230"/>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row>
    <row r="5" spans="2:20" s="86" customFormat="1" ht="34.5" customHeight="1">
      <c r="B5" s="570" t="s">
        <v>346</v>
      </c>
      <c r="C5" s="650" t="s">
        <v>540</v>
      </c>
      <c r="D5" s="650" t="s">
        <v>541</v>
      </c>
      <c r="E5" s="611" t="s">
        <v>230</v>
      </c>
      <c r="F5" s="351" t="s">
        <v>231</v>
      </c>
      <c r="I5" s="54"/>
      <c r="J5" s="54"/>
      <c r="K5" s="54"/>
      <c r="L5" s="54"/>
      <c r="M5" s="293"/>
      <c r="N5" s="293"/>
      <c r="O5" s="294"/>
      <c r="P5" s="248"/>
      <c r="Q5" s="295"/>
      <c r="R5" s="293"/>
      <c r="S5" s="293"/>
      <c r="T5" s="293"/>
    </row>
    <row r="6" spans="2:20" s="82" customFormat="1" ht="12.75">
      <c r="B6" s="254"/>
      <c r="C6" s="342"/>
      <c r="D6" s="646"/>
      <c r="E6" s="612"/>
      <c r="F6" s="342"/>
      <c r="I6" s="248"/>
      <c r="J6" s="248"/>
      <c r="K6" s="248"/>
      <c r="L6" s="248"/>
      <c r="M6" s="248"/>
      <c r="N6" s="248"/>
      <c r="O6" s="294"/>
      <c r="P6" s="248"/>
      <c r="Q6" s="295"/>
      <c r="R6" s="248"/>
      <c r="S6" s="248"/>
      <c r="T6" s="248"/>
    </row>
    <row r="7" spans="2:20" s="82" customFormat="1" ht="12.75">
      <c r="B7" s="241" t="s">
        <v>392</v>
      </c>
      <c r="C7" s="343"/>
      <c r="D7" s="647"/>
      <c r="E7" s="407"/>
      <c r="F7" s="343"/>
      <c r="I7" s="248"/>
      <c r="J7" s="248"/>
      <c r="K7" s="248"/>
      <c r="L7" s="248"/>
      <c r="M7" s="248"/>
      <c r="N7" s="248"/>
      <c r="O7" s="290"/>
      <c r="P7" s="248"/>
      <c r="Q7" s="295"/>
      <c r="R7" s="248"/>
      <c r="S7" s="248"/>
      <c r="T7" s="248"/>
    </row>
    <row r="8" spans="2:20" s="82" customFormat="1" ht="12.75">
      <c r="B8" s="241" t="s">
        <v>369</v>
      </c>
      <c r="C8" s="343"/>
      <c r="D8" s="647"/>
      <c r="E8" s="407"/>
      <c r="F8" s="343"/>
      <c r="I8" s="248"/>
      <c r="J8" s="248"/>
      <c r="K8" s="248"/>
      <c r="L8" s="248"/>
      <c r="M8" s="248"/>
      <c r="N8" s="248"/>
      <c r="O8" s="290"/>
      <c r="P8" s="248"/>
      <c r="Q8" s="295"/>
      <c r="R8" s="248"/>
      <c r="S8" s="248"/>
      <c r="T8" s="248"/>
    </row>
    <row r="9" spans="2:20" ht="12.75">
      <c r="B9" s="10" t="s">
        <v>360</v>
      </c>
      <c r="C9" s="554">
        <v>180764095</v>
      </c>
      <c r="D9" s="715">
        <v>126684233</v>
      </c>
      <c r="E9" s="613">
        <v>124387151.8</v>
      </c>
      <c r="F9" s="441">
        <f>+C9-E9</f>
        <v>56376943.2</v>
      </c>
      <c r="I9" s="296"/>
      <c r="J9" s="296"/>
      <c r="K9" s="248"/>
      <c r="L9" s="248"/>
      <c r="M9" s="248"/>
      <c r="N9" s="248"/>
      <c r="O9" s="294"/>
      <c r="P9" s="248"/>
      <c r="Q9" s="295"/>
      <c r="R9" s="248"/>
      <c r="S9" s="248"/>
      <c r="T9" s="248"/>
    </row>
    <row r="10" spans="2:20" ht="12.75">
      <c r="B10" s="10"/>
      <c r="C10" s="716"/>
      <c r="D10" s="716"/>
      <c r="E10" s="389"/>
      <c r="F10" s="373"/>
      <c r="I10" s="296"/>
      <c r="J10" s="296"/>
      <c r="K10" s="248"/>
      <c r="L10" s="248"/>
      <c r="M10" s="248"/>
      <c r="N10" s="248"/>
      <c r="O10" s="294"/>
      <c r="P10" s="248"/>
      <c r="Q10" s="295"/>
      <c r="R10" s="248"/>
      <c r="S10" s="248"/>
      <c r="T10" s="248"/>
    </row>
    <row r="11" spans="2:20" ht="12.75">
      <c r="B11" s="79" t="s">
        <v>509</v>
      </c>
      <c r="C11" s="374">
        <v>180764095</v>
      </c>
      <c r="D11" s="374">
        <v>126684233</v>
      </c>
      <c r="E11" s="614">
        <v>124387151.8</v>
      </c>
      <c r="F11" s="374">
        <f>+F10+F9</f>
        <v>56376943.2</v>
      </c>
      <c r="I11" s="296"/>
      <c r="J11" s="296"/>
      <c r="K11" s="248"/>
      <c r="L11" s="248"/>
      <c r="M11" s="248"/>
      <c r="N11" s="248"/>
      <c r="O11" s="294"/>
      <c r="P11" s="248"/>
      <c r="Q11" s="295"/>
      <c r="R11" s="248"/>
      <c r="S11" s="248"/>
      <c r="T11" s="248"/>
    </row>
    <row r="12" spans="2:20" ht="12.75">
      <c r="B12" s="79" t="s">
        <v>371</v>
      </c>
      <c r="C12" s="717"/>
      <c r="D12" s="718"/>
      <c r="E12" s="569"/>
      <c r="F12" s="325"/>
      <c r="I12" s="248"/>
      <c r="J12" s="248"/>
      <c r="K12" s="248"/>
      <c r="L12" s="248"/>
      <c r="M12" s="248"/>
      <c r="N12" s="248"/>
      <c r="O12" s="230"/>
      <c r="P12" s="295"/>
      <c r="Q12" s="295"/>
      <c r="R12" s="248"/>
      <c r="S12" s="248"/>
      <c r="T12" s="248"/>
    </row>
    <row r="13" spans="2:20" ht="12.75">
      <c r="B13" s="10" t="s">
        <v>361</v>
      </c>
      <c r="C13" s="352">
        <v>198558</v>
      </c>
      <c r="D13" s="719">
        <v>412211</v>
      </c>
      <c r="E13" s="615">
        <v>155702</v>
      </c>
      <c r="F13" s="352">
        <f>+C13-E13</f>
        <v>42856</v>
      </c>
      <c r="I13" s="248"/>
      <c r="J13" s="248"/>
      <c r="K13" s="248"/>
      <c r="L13" s="248"/>
      <c r="M13" s="248"/>
      <c r="N13" s="248"/>
      <c r="O13" s="230"/>
      <c r="P13" s="295"/>
      <c r="Q13" s="295"/>
      <c r="R13" s="248"/>
      <c r="S13" s="248"/>
      <c r="T13" s="248"/>
    </row>
    <row r="14" spans="2:20" ht="12.75">
      <c r="B14" s="10"/>
      <c r="C14" s="352"/>
      <c r="D14" s="719"/>
      <c r="E14" s="509"/>
      <c r="F14" s="328"/>
      <c r="I14" s="248"/>
      <c r="J14" s="248"/>
      <c r="K14" s="248"/>
      <c r="L14" s="248"/>
      <c r="M14" s="248"/>
      <c r="N14" s="248"/>
      <c r="O14" s="290"/>
      <c r="P14" s="295"/>
      <c r="Q14" s="295"/>
      <c r="R14" s="248"/>
      <c r="S14" s="248"/>
      <c r="T14" s="248"/>
    </row>
    <row r="15" spans="2:20" ht="17.25" customHeight="1" thickBot="1">
      <c r="B15" s="79" t="s">
        <v>508</v>
      </c>
      <c r="C15" s="720">
        <v>180565537</v>
      </c>
      <c r="D15" s="720">
        <v>126272022</v>
      </c>
      <c r="E15" s="616">
        <v>124231449.8</v>
      </c>
      <c r="F15" s="375">
        <f>F11-F13</f>
        <v>56334087.2</v>
      </c>
      <c r="I15" s="248"/>
      <c r="J15" s="248"/>
      <c r="K15" s="248"/>
      <c r="L15" s="248"/>
      <c r="M15" s="248"/>
      <c r="N15" s="248"/>
      <c r="O15" s="248"/>
      <c r="P15" s="295"/>
      <c r="Q15" s="295"/>
      <c r="R15" s="248"/>
      <c r="S15" s="248"/>
      <c r="T15" s="248"/>
    </row>
    <row r="16" spans="1:155" ht="13.5" thickTop="1">
      <c r="A16" s="84"/>
      <c r="B16" s="10"/>
      <c r="C16" s="352"/>
      <c r="D16" s="719"/>
      <c r="E16" s="509"/>
      <c r="F16" s="328"/>
      <c r="I16" s="230"/>
      <c r="J16" s="230"/>
      <c r="K16" s="230"/>
      <c r="L16" s="230"/>
      <c r="M16" s="248"/>
      <c r="N16" s="248"/>
      <c r="O16" s="248"/>
      <c r="P16" s="295"/>
      <c r="Q16" s="295"/>
      <c r="R16" s="230"/>
      <c r="S16" s="230"/>
      <c r="T16" s="230"/>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row>
    <row r="17" spans="1:155" ht="12.75">
      <c r="A17" s="84"/>
      <c r="B17" s="241" t="s">
        <v>391</v>
      </c>
      <c r="C17" s="721"/>
      <c r="D17" s="718"/>
      <c r="E17" s="407"/>
      <c r="F17" s="343"/>
      <c r="I17" s="230"/>
      <c r="J17" s="230"/>
      <c r="K17" s="230"/>
      <c r="L17" s="230"/>
      <c r="M17" s="248"/>
      <c r="N17" s="248"/>
      <c r="O17" s="248"/>
      <c r="P17" s="295"/>
      <c r="Q17" s="295"/>
      <c r="R17" s="230"/>
      <c r="S17" s="230"/>
      <c r="T17" s="230"/>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row>
    <row r="18" spans="1:155" ht="12.75">
      <c r="A18" s="84"/>
      <c r="B18" s="241" t="s">
        <v>370</v>
      </c>
      <c r="C18" s="721"/>
      <c r="D18" s="718"/>
      <c r="E18" s="407"/>
      <c r="F18" s="343"/>
      <c r="I18" s="230"/>
      <c r="J18" s="230"/>
      <c r="K18" s="230"/>
      <c r="L18" s="230"/>
      <c r="M18" s="248"/>
      <c r="N18" s="248"/>
      <c r="O18" s="248"/>
      <c r="P18" s="295"/>
      <c r="Q18" s="295"/>
      <c r="R18" s="230"/>
      <c r="S18" s="230"/>
      <c r="T18" s="230"/>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row>
    <row r="19" spans="1:155" ht="12.75">
      <c r="A19" s="84"/>
      <c r="B19" s="308" t="s">
        <v>357</v>
      </c>
      <c r="C19" s="354">
        <v>393126</v>
      </c>
      <c r="D19" s="715">
        <v>181628</v>
      </c>
      <c r="E19" s="617">
        <v>393126</v>
      </c>
      <c r="F19" s="354">
        <f>+C19-E19</f>
        <v>0</v>
      </c>
      <c r="I19" s="230"/>
      <c r="J19" s="230"/>
      <c r="K19" s="230"/>
      <c r="L19" s="230"/>
      <c r="M19" s="248"/>
      <c r="N19" s="248"/>
      <c r="O19" s="248"/>
      <c r="P19" s="295"/>
      <c r="Q19" s="295"/>
      <c r="R19" s="230"/>
      <c r="S19" s="230"/>
      <c r="T19" s="230"/>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row>
    <row r="20" spans="2:20" s="87" customFormat="1" ht="12.75">
      <c r="B20" s="10" t="s">
        <v>358</v>
      </c>
      <c r="C20" s="352">
        <v>185016</v>
      </c>
      <c r="D20" s="715">
        <v>108649</v>
      </c>
      <c r="E20" s="615">
        <v>48280</v>
      </c>
      <c r="F20" s="354">
        <f>+C20-E20</f>
        <v>136736</v>
      </c>
      <c r="I20" s="229"/>
      <c r="J20" s="229"/>
      <c r="K20" s="229"/>
      <c r="L20" s="229"/>
      <c r="M20" s="297"/>
      <c r="N20" s="297"/>
      <c r="O20" s="248"/>
      <c r="P20" s="295"/>
      <c r="Q20" s="295"/>
      <c r="R20" s="297"/>
      <c r="S20" s="297"/>
      <c r="T20" s="297"/>
    </row>
    <row r="21" spans="1:155" ht="12.75">
      <c r="A21" s="84"/>
      <c r="B21" s="10" t="s">
        <v>359</v>
      </c>
      <c r="C21" s="558">
        <v>1687744</v>
      </c>
      <c r="D21" s="715">
        <v>2979130</v>
      </c>
      <c r="E21" s="615">
        <v>7182869</v>
      </c>
      <c r="F21" s="354">
        <f>+C21-E21</f>
        <v>-5495125</v>
      </c>
      <c r="G21" s="551"/>
      <c r="I21" s="229"/>
      <c r="J21" s="229"/>
      <c r="K21" s="229"/>
      <c r="L21" s="229"/>
      <c r="M21" s="248"/>
      <c r="N21" s="248"/>
      <c r="O21" s="248"/>
      <c r="P21" s="295"/>
      <c r="Q21" s="295"/>
      <c r="R21" s="230"/>
      <c r="S21" s="230"/>
      <c r="T21" s="230"/>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row>
    <row r="22" spans="1:155" ht="12.75">
      <c r="A22" s="84"/>
      <c r="B22" s="10" t="s">
        <v>172</v>
      </c>
      <c r="C22" s="352">
        <v>2914085</v>
      </c>
      <c r="D22" s="715">
        <v>4507617</v>
      </c>
      <c r="E22" s="615">
        <v>2442241.8</v>
      </c>
      <c r="F22" s="354">
        <f>+C22-E22</f>
        <v>471843.2000000002</v>
      </c>
      <c r="I22" s="230"/>
      <c r="J22" s="230"/>
      <c r="K22" s="230"/>
      <c r="L22" s="230"/>
      <c r="M22" s="248"/>
      <c r="N22" s="248"/>
      <c r="O22" s="248"/>
      <c r="P22" s="295"/>
      <c r="Q22" s="295"/>
      <c r="R22" s="230"/>
      <c r="S22" s="230"/>
      <c r="T22" s="230"/>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row>
    <row r="23" spans="1:155" ht="13.5" thickBot="1">
      <c r="A23" s="84"/>
      <c r="B23" s="10"/>
      <c r="C23" s="720">
        <v>5179971</v>
      </c>
      <c r="D23" s="720">
        <v>7777024</v>
      </c>
      <c r="E23" s="616">
        <v>10066516.8</v>
      </c>
      <c r="F23" s="375">
        <f>SUM(F18:F22)</f>
        <v>-4886545.8</v>
      </c>
      <c r="I23" s="230"/>
      <c r="J23" s="230"/>
      <c r="K23" s="230"/>
      <c r="L23" s="230"/>
      <c r="M23" s="248"/>
      <c r="N23" s="248"/>
      <c r="O23" s="248"/>
      <c r="P23" s="295"/>
      <c r="Q23" s="295"/>
      <c r="R23" s="230"/>
      <c r="S23" s="230"/>
      <c r="T23" s="230"/>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row>
    <row r="24" spans="1:155" ht="13.5" thickTop="1">
      <c r="A24" s="84"/>
      <c r="B24" s="241" t="s">
        <v>390</v>
      </c>
      <c r="C24" s="721"/>
      <c r="D24" s="715"/>
      <c r="E24" s="407"/>
      <c r="F24" s="343"/>
      <c r="I24" s="230"/>
      <c r="J24" s="230"/>
      <c r="K24" s="230"/>
      <c r="L24" s="230"/>
      <c r="M24" s="248"/>
      <c r="N24" s="248"/>
      <c r="O24" s="248"/>
      <c r="P24" s="295"/>
      <c r="Q24" s="295"/>
      <c r="R24" s="230"/>
      <c r="S24" s="230"/>
      <c r="T24" s="230"/>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row>
    <row r="25" spans="1:155" ht="12.75">
      <c r="A25" s="84"/>
      <c r="B25" s="64" t="s">
        <v>472</v>
      </c>
      <c r="C25" s="722"/>
      <c r="D25" s="715"/>
      <c r="E25" s="57"/>
      <c r="F25" s="344"/>
      <c r="I25" s="230"/>
      <c r="J25" s="230"/>
      <c r="K25" s="230"/>
      <c r="L25" s="230"/>
      <c r="M25" s="248"/>
      <c r="N25" s="248"/>
      <c r="O25" s="248"/>
      <c r="P25" s="295"/>
      <c r="Q25" s="295"/>
      <c r="R25" s="230"/>
      <c r="S25" s="230"/>
      <c r="T25" s="230"/>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row>
    <row r="26" spans="1:155" ht="12.75">
      <c r="A26" s="84"/>
      <c r="B26" s="64" t="s">
        <v>527</v>
      </c>
      <c r="C26" s="722"/>
      <c r="D26" s="715"/>
      <c r="E26" s="57"/>
      <c r="F26" s="344"/>
      <c r="I26" s="230"/>
      <c r="J26" s="230"/>
      <c r="K26" s="230"/>
      <c r="L26" s="230"/>
      <c r="M26" s="248"/>
      <c r="N26" s="248"/>
      <c r="O26" s="248"/>
      <c r="P26" s="295"/>
      <c r="Q26" s="295"/>
      <c r="R26" s="230"/>
      <c r="S26" s="230"/>
      <c r="T26" s="230"/>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row>
    <row r="27" spans="1:155" ht="12.75">
      <c r="A27" s="84"/>
      <c r="B27" s="255" t="s">
        <v>524</v>
      </c>
      <c r="C27" s="723">
        <v>12568347</v>
      </c>
      <c r="D27" s="715">
        <v>22326152</v>
      </c>
      <c r="E27" s="618">
        <v>12568347</v>
      </c>
      <c r="F27" s="355">
        <f>+C27-E27</f>
        <v>0</v>
      </c>
      <c r="I27" s="230"/>
      <c r="J27" s="230"/>
      <c r="K27" s="230"/>
      <c r="L27" s="230"/>
      <c r="M27" s="248"/>
      <c r="N27" s="248"/>
      <c r="O27" s="248"/>
      <c r="P27" s="295"/>
      <c r="Q27" s="295"/>
      <c r="R27" s="230"/>
      <c r="S27" s="230"/>
      <c r="T27" s="230"/>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row>
    <row r="28" spans="1:155" ht="12.75">
      <c r="A28" s="84"/>
      <c r="B28" s="255" t="s">
        <v>525</v>
      </c>
      <c r="C28" s="559">
        <v>68846955</v>
      </c>
      <c r="D28" s="716">
        <v>34778484</v>
      </c>
      <c r="E28" s="619">
        <v>51062617.49</v>
      </c>
      <c r="F28" s="386">
        <f>+C28-E28</f>
        <v>17784337.509999998</v>
      </c>
      <c r="G28" s="551"/>
      <c r="I28" s="258"/>
      <c r="J28" s="239"/>
      <c r="K28" s="239"/>
      <c r="L28" s="239"/>
      <c r="M28" s="248"/>
      <c r="N28" s="248"/>
      <c r="O28" s="248"/>
      <c r="P28" s="295"/>
      <c r="Q28" s="295"/>
      <c r="R28" s="230"/>
      <c r="S28" s="230"/>
      <c r="T28" s="230"/>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row>
    <row r="29" spans="1:155" ht="12.75">
      <c r="A29" s="84"/>
      <c r="B29" s="255"/>
      <c r="C29" s="724">
        <v>81415302</v>
      </c>
      <c r="D29" s="724">
        <v>57104636</v>
      </c>
      <c r="E29" s="620">
        <v>63630964.49</v>
      </c>
      <c r="F29" s="285">
        <f>+C29-E29</f>
        <v>17784337.509999998</v>
      </c>
      <c r="I29" s="258"/>
      <c r="J29" s="239"/>
      <c r="K29" s="239"/>
      <c r="L29" s="239"/>
      <c r="M29" s="248"/>
      <c r="N29" s="248"/>
      <c r="O29" s="248"/>
      <c r="P29" s="295"/>
      <c r="Q29" s="295"/>
      <c r="R29" s="230"/>
      <c r="S29" s="230"/>
      <c r="T29" s="230"/>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row>
    <row r="30" spans="1:155" ht="12.75">
      <c r="A30" s="84"/>
      <c r="B30" s="255" t="s">
        <v>526</v>
      </c>
      <c r="C30" s="371">
        <v>10403958</v>
      </c>
      <c r="D30" s="715">
        <v>12568347</v>
      </c>
      <c r="E30" s="621">
        <v>2919942</v>
      </c>
      <c r="F30" s="448">
        <f>+C30-E30</f>
        <v>7484016</v>
      </c>
      <c r="G30" s="561"/>
      <c r="H30" s="561"/>
      <c r="I30" s="258"/>
      <c r="J30" s="230"/>
      <c r="K30" s="230"/>
      <c r="L30" s="230"/>
      <c r="M30" s="248"/>
      <c r="N30" s="248"/>
      <c r="O30" s="248"/>
      <c r="P30" s="248"/>
      <c r="Q30" s="295"/>
      <c r="R30" s="230"/>
      <c r="S30" s="230"/>
      <c r="T30" s="230"/>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row>
    <row r="31" spans="1:155" ht="12.75">
      <c r="A31" s="84"/>
      <c r="B31" s="653"/>
      <c r="C31" s="695">
        <v>71011344</v>
      </c>
      <c r="D31" s="695">
        <v>44536289</v>
      </c>
      <c r="E31" s="622">
        <v>60711022.49</v>
      </c>
      <c r="F31" s="376">
        <f>+F29-F30</f>
        <v>10300321.509999998</v>
      </c>
      <c r="G31" s="561"/>
      <c r="H31" s="561"/>
      <c r="I31" s="258"/>
      <c r="J31" s="259"/>
      <c r="K31" s="230"/>
      <c r="L31" s="230"/>
      <c r="M31" s="248"/>
      <c r="N31" s="298"/>
      <c r="O31" s="248"/>
      <c r="P31" s="248"/>
      <c r="Q31" s="295"/>
      <c r="R31" s="230"/>
      <c r="S31" s="230"/>
      <c r="T31" s="230"/>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row>
    <row r="32" spans="1:155" ht="12.75">
      <c r="A32" s="84"/>
      <c r="B32" s="64" t="s">
        <v>528</v>
      </c>
      <c r="C32" s="357"/>
      <c r="D32" s="715"/>
      <c r="E32" s="248"/>
      <c r="F32" s="347"/>
      <c r="I32" s="258"/>
      <c r="J32" s="259"/>
      <c r="K32" s="230"/>
      <c r="L32" s="230"/>
      <c r="M32" s="248"/>
      <c r="N32" s="298"/>
      <c r="O32" s="248"/>
      <c r="P32" s="248"/>
      <c r="Q32" s="295"/>
      <c r="R32" s="230"/>
      <c r="S32" s="230"/>
      <c r="T32" s="230"/>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row>
    <row r="33" spans="1:155" ht="12.75">
      <c r="A33" s="84"/>
      <c r="B33" s="255" t="s">
        <v>524</v>
      </c>
      <c r="C33" s="357">
        <v>0</v>
      </c>
      <c r="D33" s="715">
        <v>0</v>
      </c>
      <c r="E33" s="623">
        <v>0</v>
      </c>
      <c r="F33" s="360">
        <v>0</v>
      </c>
      <c r="I33" s="258"/>
      <c r="J33" s="259"/>
      <c r="K33" s="230"/>
      <c r="L33" s="230"/>
      <c r="M33" s="248"/>
      <c r="N33" s="298"/>
      <c r="O33" s="248"/>
      <c r="P33" s="248"/>
      <c r="Q33" s="295"/>
      <c r="R33" s="230"/>
      <c r="S33" s="230"/>
      <c r="T33" s="230"/>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row>
    <row r="34" spans="1:155" ht="12.75">
      <c r="A34" s="84"/>
      <c r="B34" s="255" t="s">
        <v>525</v>
      </c>
      <c r="C34" s="357">
        <v>5756596</v>
      </c>
      <c r="D34" s="715">
        <v>3358981</v>
      </c>
      <c r="E34" s="624">
        <v>4373305</v>
      </c>
      <c r="F34" s="359">
        <f>+C34-E34</f>
        <v>1383291</v>
      </c>
      <c r="I34" s="258"/>
      <c r="J34" s="259"/>
      <c r="K34" s="230"/>
      <c r="L34" s="230"/>
      <c r="M34" s="248"/>
      <c r="N34" s="298"/>
      <c r="O34" s="248"/>
      <c r="P34" s="248"/>
      <c r="Q34" s="295"/>
      <c r="R34" s="230"/>
      <c r="S34" s="230"/>
      <c r="T34" s="230"/>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row>
    <row r="35" spans="1:155" ht="12.75">
      <c r="A35" s="84"/>
      <c r="B35" s="255" t="s">
        <v>526</v>
      </c>
      <c r="C35" s="357">
        <v>61818</v>
      </c>
      <c r="D35" s="715">
        <v>0</v>
      </c>
      <c r="E35" s="445">
        <v>0</v>
      </c>
      <c r="F35" s="449">
        <f>+C35-E35</f>
        <v>61818</v>
      </c>
      <c r="I35" s="258"/>
      <c r="J35" s="259"/>
      <c r="K35" s="230"/>
      <c r="L35" s="230"/>
      <c r="M35" s="248"/>
      <c r="N35" s="298"/>
      <c r="O35" s="248"/>
      <c r="P35" s="248"/>
      <c r="Q35" s="295"/>
      <c r="R35" s="230"/>
      <c r="S35" s="230"/>
      <c r="T35" s="230"/>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row>
    <row r="36" spans="1:155" ht="12.75">
      <c r="A36" s="84"/>
      <c r="B36" s="255"/>
      <c r="C36" s="433">
        <v>5694778</v>
      </c>
      <c r="D36" s="433">
        <v>3358981</v>
      </c>
      <c r="E36" s="625">
        <v>4373305</v>
      </c>
      <c r="F36" s="433">
        <f>+C36-E36</f>
        <v>1321473</v>
      </c>
      <c r="I36" s="258"/>
      <c r="J36" s="259"/>
      <c r="K36" s="230"/>
      <c r="L36" s="230"/>
      <c r="M36" s="248"/>
      <c r="N36" s="298"/>
      <c r="O36" s="248"/>
      <c r="P36" s="248"/>
      <c r="Q36" s="295"/>
      <c r="R36" s="230"/>
      <c r="S36" s="230"/>
      <c r="T36" s="230"/>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row>
    <row r="37" spans="1:155" ht="12.75">
      <c r="A37" s="84"/>
      <c r="B37" s="255"/>
      <c r="C37" s="695">
        <v>76706122</v>
      </c>
      <c r="D37" s="695">
        <v>47895270</v>
      </c>
      <c r="E37" s="622">
        <v>65084327.49</v>
      </c>
      <c r="F37" s="376">
        <f>+F36+F31</f>
        <v>11621794.509999998</v>
      </c>
      <c r="G37" s="561"/>
      <c r="H37" s="561"/>
      <c r="I37" s="258"/>
      <c r="J37" s="259"/>
      <c r="K37" s="230"/>
      <c r="L37" s="230"/>
      <c r="M37" s="248"/>
      <c r="N37" s="298"/>
      <c r="O37" s="248"/>
      <c r="P37" s="248"/>
      <c r="Q37" s="295"/>
      <c r="R37" s="230"/>
      <c r="S37" s="230"/>
      <c r="T37" s="230"/>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row>
    <row r="38" spans="1:155" ht="12.75">
      <c r="A38" s="84"/>
      <c r="B38" s="241" t="s">
        <v>389</v>
      </c>
      <c r="C38" s="721"/>
      <c r="D38" s="715"/>
      <c r="E38" s="407"/>
      <c r="F38" s="343"/>
      <c r="G38" s="561"/>
      <c r="H38" s="561"/>
      <c r="I38" s="258"/>
      <c r="J38" s="259"/>
      <c r="K38" s="230"/>
      <c r="L38" s="230"/>
      <c r="M38" s="248"/>
      <c r="N38" s="298"/>
      <c r="O38" s="248"/>
      <c r="P38" s="248"/>
      <c r="Q38" s="295"/>
      <c r="R38" s="230"/>
      <c r="S38" s="230"/>
      <c r="T38" s="230"/>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row>
    <row r="39" spans="1:155" ht="12.75">
      <c r="A39" s="84"/>
      <c r="B39" s="307" t="s">
        <v>350</v>
      </c>
      <c r="C39" s="716">
        <v>598560</v>
      </c>
      <c r="D39" s="716">
        <v>1761979</v>
      </c>
      <c r="E39" s="389">
        <v>598560</v>
      </c>
      <c r="F39" s="373">
        <f>+C39-E39</f>
        <v>0</v>
      </c>
      <c r="G39" s="561"/>
      <c r="H39" s="561"/>
      <c r="I39" s="258"/>
      <c r="J39" s="259"/>
      <c r="K39" s="230"/>
      <c r="L39" s="230"/>
      <c r="M39" s="248"/>
      <c r="N39" s="298"/>
      <c r="O39" s="248"/>
      <c r="P39" s="248"/>
      <c r="Q39" s="295"/>
      <c r="R39" s="230"/>
      <c r="S39" s="230"/>
      <c r="T39" s="230"/>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row>
    <row r="40" spans="1:155" ht="12.75">
      <c r="A40" s="84"/>
      <c r="B40" s="307"/>
      <c r="C40" s="725"/>
      <c r="D40" s="715"/>
      <c r="E40" s="626"/>
      <c r="F40" s="429"/>
      <c r="I40" s="258"/>
      <c r="J40" s="259"/>
      <c r="K40" s="230"/>
      <c r="L40" s="230"/>
      <c r="M40" s="248"/>
      <c r="N40" s="298"/>
      <c r="O40" s="248"/>
      <c r="P40" s="248"/>
      <c r="Q40" s="295"/>
      <c r="R40" s="230"/>
      <c r="S40" s="230"/>
      <c r="T40" s="230"/>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4"/>
      <c r="EQ40" s="84"/>
      <c r="ER40" s="84"/>
      <c r="ES40" s="84"/>
      <c r="ET40" s="84"/>
      <c r="EU40" s="84"/>
      <c r="EV40" s="84"/>
      <c r="EW40" s="84"/>
      <c r="EX40" s="84"/>
      <c r="EY40" s="84"/>
    </row>
    <row r="41" spans="2:20" ht="12.75">
      <c r="B41" s="241" t="s">
        <v>351</v>
      </c>
      <c r="C41" s="721"/>
      <c r="D41" s="719"/>
      <c r="E41" s="407"/>
      <c r="F41" s="343"/>
      <c r="I41" s="248"/>
      <c r="J41" s="299"/>
      <c r="K41" s="248"/>
      <c r="L41" s="248"/>
      <c r="M41" s="248"/>
      <c r="N41" s="248"/>
      <c r="O41" s="248"/>
      <c r="P41" s="248"/>
      <c r="Q41" s="295"/>
      <c r="R41" s="248"/>
      <c r="S41" s="248"/>
      <c r="T41" s="248"/>
    </row>
    <row r="42" spans="1:155" s="89" customFormat="1" ht="15.75" customHeight="1">
      <c r="A42" s="88"/>
      <c r="B42" s="256" t="s">
        <v>419</v>
      </c>
      <c r="C42" s="726"/>
      <c r="D42" s="727"/>
      <c r="E42" s="627"/>
      <c r="F42" s="345"/>
      <c r="I42" s="300"/>
      <c r="J42" s="301"/>
      <c r="K42" s="301"/>
      <c r="L42" s="301"/>
      <c r="M42" s="248"/>
      <c r="N42" s="248"/>
      <c r="O42" s="248"/>
      <c r="P42" s="295"/>
      <c r="Q42" s="295"/>
      <c r="R42" s="301"/>
      <c r="S42" s="301"/>
      <c r="T42" s="301"/>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row>
    <row r="43" spans="2:20" ht="12.75">
      <c r="B43" s="55" t="s">
        <v>388</v>
      </c>
      <c r="C43" s="728"/>
      <c r="D43" s="718"/>
      <c r="E43" s="22"/>
      <c r="F43" s="346"/>
      <c r="I43" s="248"/>
      <c r="J43" s="248"/>
      <c r="K43" s="248"/>
      <c r="L43" s="248"/>
      <c r="M43" s="248"/>
      <c r="N43" s="248"/>
      <c r="O43" s="248"/>
      <c r="P43" s="295"/>
      <c r="Q43" s="295"/>
      <c r="R43" s="248"/>
      <c r="S43" s="248"/>
      <c r="T43" s="248"/>
    </row>
    <row r="44" spans="2:20" ht="12.75">
      <c r="B44" s="255" t="s">
        <v>420</v>
      </c>
      <c r="C44" s="356">
        <v>8936241</v>
      </c>
      <c r="D44" s="715">
        <v>6319891</v>
      </c>
      <c r="E44" s="628">
        <v>11946386.076</v>
      </c>
      <c r="F44" s="442">
        <f>+C44</f>
        <v>8936241</v>
      </c>
      <c r="I44" s="302"/>
      <c r="J44" s="248"/>
      <c r="K44" s="248"/>
      <c r="L44" s="248"/>
      <c r="M44" s="303"/>
      <c r="N44" s="290"/>
      <c r="O44" s="248"/>
      <c r="P44" s="295"/>
      <c r="Q44" s="295"/>
      <c r="R44" s="248"/>
      <c r="S44" s="248"/>
      <c r="T44" s="248"/>
    </row>
    <row r="45" spans="2:20" ht="12.75">
      <c r="B45" s="255" t="s">
        <v>385</v>
      </c>
      <c r="C45" s="356">
        <v>32871828</v>
      </c>
      <c r="D45" s="715">
        <v>20255708</v>
      </c>
      <c r="E45" s="628">
        <v>35370200</v>
      </c>
      <c r="F45" s="442">
        <f>+C45</f>
        <v>32871828</v>
      </c>
      <c r="I45" s="304"/>
      <c r="J45" s="248"/>
      <c r="K45" s="248"/>
      <c r="L45" s="248"/>
      <c r="M45" s="303"/>
      <c r="N45" s="290"/>
      <c r="O45" s="248"/>
      <c r="P45" s="295"/>
      <c r="Q45" s="295"/>
      <c r="R45" s="248"/>
      <c r="S45" s="248"/>
      <c r="T45" s="248"/>
    </row>
    <row r="46" spans="2:20" ht="12.75">
      <c r="B46" s="10"/>
      <c r="C46" s="695">
        <v>41808069</v>
      </c>
      <c r="D46" s="695">
        <v>26575599</v>
      </c>
      <c r="E46" s="622">
        <v>47316586.076</v>
      </c>
      <c r="F46" s="376">
        <f>SUM(F44:F45)</f>
        <v>41808069</v>
      </c>
      <c r="I46" s="298"/>
      <c r="J46" s="298"/>
      <c r="K46" s="248"/>
      <c r="L46" s="248"/>
      <c r="M46" s="248"/>
      <c r="N46" s="303"/>
      <c r="O46" s="248"/>
      <c r="P46" s="295"/>
      <c r="Q46" s="295"/>
      <c r="R46" s="248"/>
      <c r="S46" s="248"/>
      <c r="T46" s="248"/>
    </row>
    <row r="47" spans="2:20" ht="12.75">
      <c r="B47" s="79" t="s">
        <v>387</v>
      </c>
      <c r="C47" s="717"/>
      <c r="D47" s="715"/>
      <c r="E47" s="569"/>
      <c r="F47" s="325"/>
      <c r="I47" s="298"/>
      <c r="J47" s="248"/>
      <c r="K47" s="248"/>
      <c r="L47" s="248"/>
      <c r="M47" s="248"/>
      <c r="N47" s="248"/>
      <c r="O47" s="248"/>
      <c r="P47" s="295"/>
      <c r="Q47" s="295"/>
      <c r="R47" s="248"/>
      <c r="S47" s="248"/>
      <c r="T47" s="248"/>
    </row>
    <row r="48" spans="2:20" ht="12.75">
      <c r="B48" s="55" t="s">
        <v>386</v>
      </c>
      <c r="C48" s="728"/>
      <c r="D48" s="715"/>
      <c r="E48" s="22"/>
      <c r="F48" s="346"/>
      <c r="I48" s="248"/>
      <c r="J48" s="248"/>
      <c r="K48" s="248"/>
      <c r="L48" s="248"/>
      <c r="M48" s="248"/>
      <c r="N48" s="248"/>
      <c r="O48" s="248"/>
      <c r="P48" s="295"/>
      <c r="Q48" s="295"/>
      <c r="R48" s="248"/>
      <c r="S48" s="248"/>
      <c r="T48" s="248"/>
    </row>
    <row r="49" spans="2:20" ht="12.75">
      <c r="B49" s="255" t="s">
        <v>420</v>
      </c>
      <c r="C49" s="723">
        <v>6319891</v>
      </c>
      <c r="D49" s="715">
        <v>2675881</v>
      </c>
      <c r="E49" s="618">
        <v>6319890.918422997</v>
      </c>
      <c r="F49" s="355">
        <f>+D49</f>
        <v>2675881</v>
      </c>
      <c r="G49" s="561"/>
      <c r="H49" s="561"/>
      <c r="I49" s="248"/>
      <c r="J49" s="248"/>
      <c r="K49" s="248"/>
      <c r="L49" s="248"/>
      <c r="M49" s="248"/>
      <c r="N49" s="248"/>
      <c r="O49" s="248"/>
      <c r="P49" s="295"/>
      <c r="Q49" s="295"/>
      <c r="R49" s="248"/>
      <c r="S49" s="248"/>
      <c r="T49" s="248"/>
    </row>
    <row r="50" spans="2:20" ht="12.75">
      <c r="B50" s="255" t="s">
        <v>385</v>
      </c>
      <c r="C50" s="723">
        <v>20255708</v>
      </c>
      <c r="D50" s="715">
        <v>16169683</v>
      </c>
      <c r="E50" s="618">
        <v>20255707.827686254</v>
      </c>
      <c r="F50" s="355">
        <f>+D50</f>
        <v>16169683</v>
      </c>
      <c r="G50" s="561"/>
      <c r="H50" s="561"/>
      <c r="I50" s="248"/>
      <c r="J50" s="248"/>
      <c r="K50" s="248"/>
      <c r="L50" s="248"/>
      <c r="M50" s="248"/>
      <c r="N50" s="248"/>
      <c r="O50" s="248"/>
      <c r="P50" s="295"/>
      <c r="Q50" s="295"/>
      <c r="R50" s="248"/>
      <c r="S50" s="248"/>
      <c r="T50" s="248"/>
    </row>
    <row r="51" spans="2:20" ht="12.75">
      <c r="B51" s="254"/>
      <c r="C51" s="724">
        <v>26575599</v>
      </c>
      <c r="D51" s="724">
        <v>18845564</v>
      </c>
      <c r="E51" s="620">
        <v>26575598.74610925</v>
      </c>
      <c r="F51" s="377">
        <f>SUM(F49:F50)</f>
        <v>18845564</v>
      </c>
      <c r="I51" s="248"/>
      <c r="J51" s="248"/>
      <c r="K51" s="248"/>
      <c r="L51" s="248"/>
      <c r="M51" s="248"/>
      <c r="N51" s="248"/>
      <c r="O51" s="248"/>
      <c r="P51" s="295"/>
      <c r="Q51" s="295"/>
      <c r="R51" s="248"/>
      <c r="S51" s="248"/>
      <c r="T51" s="248"/>
    </row>
    <row r="52" spans="2:20" ht="13.5" thickBot="1">
      <c r="B52" s="5" t="s">
        <v>473</v>
      </c>
      <c r="C52" s="720">
        <v>-15232470</v>
      </c>
      <c r="D52" s="720">
        <v>-7730035</v>
      </c>
      <c r="E52" s="616">
        <v>-20740987.329890747</v>
      </c>
      <c r="F52" s="375">
        <f>+C52-E52</f>
        <v>5508517.329890747</v>
      </c>
      <c r="I52" s="248"/>
      <c r="J52" s="248"/>
      <c r="K52" s="248"/>
      <c r="L52" s="248"/>
      <c r="M52" s="248"/>
      <c r="N52" s="248"/>
      <c r="O52" s="248"/>
      <c r="P52" s="295"/>
      <c r="Q52" s="295"/>
      <c r="R52" s="248"/>
      <c r="S52" s="248"/>
      <c r="T52" s="248"/>
    </row>
    <row r="53" spans="2:20" ht="13.5" thickTop="1">
      <c r="B53" s="241" t="s">
        <v>476</v>
      </c>
      <c r="C53" s="721"/>
      <c r="D53" s="719"/>
      <c r="E53" s="407"/>
      <c r="F53" s="343"/>
      <c r="I53" s="248"/>
      <c r="J53" s="248"/>
      <c r="K53" s="248"/>
      <c r="L53" s="248"/>
      <c r="M53" s="248"/>
      <c r="N53" s="248"/>
      <c r="O53" s="248"/>
      <c r="P53" s="295"/>
      <c r="Q53" s="295"/>
      <c r="R53" s="248"/>
      <c r="S53" s="248"/>
      <c r="T53" s="248"/>
    </row>
    <row r="54" spans="2:20" ht="34.5" customHeight="1" hidden="1" thickBot="1">
      <c r="B54" s="269"/>
      <c r="C54" s="359"/>
      <c r="D54" s="729"/>
      <c r="E54" s="248"/>
      <c r="F54" s="347"/>
      <c r="I54" s="248"/>
      <c r="J54" s="248"/>
      <c r="K54" s="248"/>
      <c r="L54" s="248"/>
      <c r="M54" s="248"/>
      <c r="N54" s="248"/>
      <c r="O54" s="248"/>
      <c r="P54" s="295"/>
      <c r="Q54" s="295"/>
      <c r="R54" s="248"/>
      <c r="S54" s="248"/>
      <c r="T54" s="248"/>
    </row>
    <row r="55" spans="2:20" ht="12.75">
      <c r="B55" s="241" t="s">
        <v>373</v>
      </c>
      <c r="C55" s="721"/>
      <c r="D55" s="730"/>
      <c r="E55" s="407"/>
      <c r="F55" s="343"/>
      <c r="I55" s="248"/>
      <c r="J55" s="248"/>
      <c r="K55" s="248"/>
      <c r="L55" s="248"/>
      <c r="M55" s="248"/>
      <c r="N55" s="248"/>
      <c r="O55" s="248"/>
      <c r="P55" s="295"/>
      <c r="Q55" s="295"/>
      <c r="R55" s="248"/>
      <c r="S55" s="248"/>
      <c r="T55" s="248"/>
    </row>
    <row r="56" spans="2:20" ht="12.75">
      <c r="B56" s="10" t="s">
        <v>475</v>
      </c>
      <c r="C56" s="353">
        <v>21329724</v>
      </c>
      <c r="D56" s="715">
        <v>19053428</v>
      </c>
      <c r="E56" s="613">
        <v>15102116</v>
      </c>
      <c r="F56" s="441">
        <f>+C56-E56</f>
        <v>6227608</v>
      </c>
      <c r="I56" s="248"/>
      <c r="J56" s="248"/>
      <c r="K56" s="248"/>
      <c r="L56" s="248"/>
      <c r="M56" s="248"/>
      <c r="N56" s="248"/>
      <c r="O56" s="290"/>
      <c r="P56" s="295"/>
      <c r="Q56" s="295"/>
      <c r="R56" s="248"/>
      <c r="S56" s="248"/>
      <c r="T56" s="248"/>
    </row>
    <row r="57" spans="2:20" ht="12.75">
      <c r="B57" s="10" t="s">
        <v>173</v>
      </c>
      <c r="C57" s="353">
        <v>1459731</v>
      </c>
      <c r="D57" s="715">
        <v>1355816</v>
      </c>
      <c r="E57" s="613">
        <v>1095959</v>
      </c>
      <c r="F57" s="441">
        <f>+C57-E57</f>
        <v>363772</v>
      </c>
      <c r="I57" s="248"/>
      <c r="J57" s="248"/>
      <c r="K57" s="248"/>
      <c r="L57" s="248"/>
      <c r="M57" s="248"/>
      <c r="N57" s="248"/>
      <c r="O57" s="290"/>
      <c r="P57" s="295"/>
      <c r="Q57" s="295"/>
      <c r="R57" s="248"/>
      <c r="S57" s="248"/>
      <c r="T57" s="248"/>
    </row>
    <row r="58" spans="2:20" ht="12.75">
      <c r="B58" s="10" t="s">
        <v>174</v>
      </c>
      <c r="C58" s="353">
        <v>546345</v>
      </c>
      <c r="D58" s="715">
        <v>419904</v>
      </c>
      <c r="E58" s="613">
        <v>336617</v>
      </c>
      <c r="F58" s="441">
        <f>+C58-E58</f>
        <v>209728</v>
      </c>
      <c r="I58" s="248"/>
      <c r="J58" s="248"/>
      <c r="K58" s="248"/>
      <c r="L58" s="248"/>
      <c r="M58" s="248"/>
      <c r="N58" s="248"/>
      <c r="O58" s="290"/>
      <c r="P58" s="248"/>
      <c r="Q58" s="290"/>
      <c r="R58" s="248"/>
      <c r="S58" s="248"/>
      <c r="T58" s="248"/>
    </row>
    <row r="59" spans="2:20" ht="12.75">
      <c r="B59" s="323"/>
      <c r="C59" s="731">
        <v>23335800</v>
      </c>
      <c r="D59" s="731">
        <v>20829148</v>
      </c>
      <c r="E59" s="629">
        <v>16534692</v>
      </c>
      <c r="F59" s="378">
        <f>SUM(F56:F58)</f>
        <v>6801108</v>
      </c>
      <c r="I59" s="248"/>
      <c r="J59" s="248"/>
      <c r="K59" s="248"/>
      <c r="L59" s="248"/>
      <c r="M59" s="303"/>
      <c r="N59" s="290"/>
      <c r="O59" s="290"/>
      <c r="P59" s="290"/>
      <c r="Q59" s="290"/>
      <c r="R59" s="248"/>
      <c r="S59" s="248"/>
      <c r="T59" s="248"/>
    </row>
    <row r="60" spans="2:20" ht="12.75">
      <c r="B60" s="781"/>
      <c r="C60" s="782"/>
      <c r="D60" s="732"/>
      <c r="E60" s="630"/>
      <c r="F60" s="348"/>
      <c r="I60" s="248"/>
      <c r="J60" s="248"/>
      <c r="K60" s="248"/>
      <c r="L60" s="248"/>
      <c r="M60" s="303"/>
      <c r="N60" s="290"/>
      <c r="O60" s="290"/>
      <c r="P60" s="290"/>
      <c r="Q60" s="290"/>
      <c r="R60" s="248"/>
      <c r="S60" s="248"/>
      <c r="T60" s="248"/>
    </row>
    <row r="61" spans="1:155" ht="12.75" customHeight="1">
      <c r="A61" s="84"/>
      <c r="B61" s="241" t="s">
        <v>352</v>
      </c>
      <c r="C61" s="721"/>
      <c r="D61" s="733"/>
      <c r="E61" s="407"/>
      <c r="F61" s="343"/>
      <c r="I61" s="230"/>
      <c r="J61" s="230"/>
      <c r="K61" s="230"/>
      <c r="L61" s="230"/>
      <c r="M61" s="248"/>
      <c r="N61" s="248"/>
      <c r="O61" s="248"/>
      <c r="P61" s="248"/>
      <c r="Q61" s="248"/>
      <c r="R61" s="230"/>
      <c r="S61" s="230"/>
      <c r="T61" s="230"/>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c r="EQ61" s="84"/>
      <c r="ER61" s="84"/>
      <c r="ES61" s="84"/>
      <c r="ET61" s="84"/>
      <c r="EU61" s="84"/>
      <c r="EV61" s="84"/>
      <c r="EW61" s="84"/>
      <c r="EX61" s="84"/>
      <c r="EY61" s="84"/>
    </row>
    <row r="62" spans="1:155" ht="12.75">
      <c r="A62" s="84"/>
      <c r="B62" s="287" t="s">
        <v>414</v>
      </c>
      <c r="C62" s="431"/>
      <c r="D62" s="715"/>
      <c r="E62" s="631"/>
      <c r="F62" s="349"/>
      <c r="I62" s="230"/>
      <c r="J62" s="230"/>
      <c r="K62" s="230"/>
      <c r="L62" s="230"/>
      <c r="M62" s="248"/>
      <c r="N62" s="248"/>
      <c r="O62" s="248"/>
      <c r="P62" s="248"/>
      <c r="Q62" s="248"/>
      <c r="R62" s="230"/>
      <c r="S62" s="230"/>
      <c r="T62" s="230"/>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c r="EQ62" s="84"/>
      <c r="ER62" s="84"/>
      <c r="ES62" s="84"/>
      <c r="ET62" s="84"/>
      <c r="EU62" s="84"/>
      <c r="EV62" s="84"/>
      <c r="EW62" s="84"/>
      <c r="EX62" s="84"/>
      <c r="EY62" s="84"/>
    </row>
    <row r="63" spans="1:155" ht="12.75">
      <c r="A63" s="84"/>
      <c r="B63" s="651" t="s">
        <v>477</v>
      </c>
      <c r="C63" s="729">
        <v>24702482</v>
      </c>
      <c r="D63" s="729">
        <v>14337944</v>
      </c>
      <c r="E63" s="372">
        <v>17554279.84</v>
      </c>
      <c r="F63" s="379">
        <f>+C63-E63</f>
        <v>7148202.16</v>
      </c>
      <c r="G63" s="561"/>
      <c r="H63" s="561"/>
      <c r="I63" s="230"/>
      <c r="J63" s="230"/>
      <c r="K63" s="230"/>
      <c r="L63" s="230"/>
      <c r="M63" s="248"/>
      <c r="N63" s="248"/>
      <c r="O63" s="248"/>
      <c r="P63" s="248"/>
      <c r="Q63" s="248"/>
      <c r="R63" s="230"/>
      <c r="S63" s="230"/>
      <c r="T63" s="230"/>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row>
    <row r="64" spans="1:155" ht="12.75">
      <c r="A64" s="84"/>
      <c r="B64" s="652" t="s">
        <v>478</v>
      </c>
      <c r="C64" s="358">
        <v>12132714</v>
      </c>
      <c r="D64" s="729">
        <v>7642183</v>
      </c>
      <c r="E64" s="632">
        <v>9156821</v>
      </c>
      <c r="F64" s="379">
        <f>+C64-E64</f>
        <v>2975893</v>
      </c>
      <c r="I64" s="277"/>
      <c r="J64" s="230"/>
      <c r="K64" s="230"/>
      <c r="L64" s="230"/>
      <c r="M64" s="248"/>
      <c r="N64" s="248"/>
      <c r="O64" s="248"/>
      <c r="P64" s="248"/>
      <c r="Q64" s="248"/>
      <c r="R64" s="230"/>
      <c r="S64" s="230"/>
      <c r="T64" s="230"/>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row>
    <row r="65" spans="1:155" ht="12.75">
      <c r="A65" s="84"/>
      <c r="B65" s="651" t="s">
        <v>479</v>
      </c>
      <c r="C65" s="553">
        <v>693000</v>
      </c>
      <c r="D65" s="715">
        <v>674000</v>
      </c>
      <c r="E65" s="624">
        <v>519750</v>
      </c>
      <c r="F65" s="379">
        <f>+C65-E65</f>
        <v>173250</v>
      </c>
      <c r="I65" s="277"/>
      <c r="J65" s="230"/>
      <c r="K65" s="230"/>
      <c r="L65" s="230"/>
      <c r="M65" s="248"/>
      <c r="N65" s="248"/>
      <c r="O65" s="248"/>
      <c r="P65" s="248"/>
      <c r="Q65" s="248"/>
      <c r="R65" s="230"/>
      <c r="S65" s="230"/>
      <c r="T65" s="230"/>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row>
    <row r="66" spans="1:155" ht="12.75">
      <c r="A66" s="84"/>
      <c r="B66" s="651" t="s">
        <v>480</v>
      </c>
      <c r="C66" s="553">
        <v>565427</v>
      </c>
      <c r="D66" s="715">
        <v>500026</v>
      </c>
      <c r="E66" s="624">
        <v>423854</v>
      </c>
      <c r="F66" s="379">
        <f>+C66-E66</f>
        <v>141573</v>
      </c>
      <c r="I66" s="239"/>
      <c r="J66" s="230"/>
      <c r="K66" s="230"/>
      <c r="L66" s="230"/>
      <c r="M66" s="248"/>
      <c r="N66" s="248"/>
      <c r="O66" s="248"/>
      <c r="P66" s="248"/>
      <c r="Q66" s="248"/>
      <c r="R66" s="230"/>
      <c r="S66" s="230"/>
      <c r="T66" s="230"/>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row>
    <row r="67" spans="1:155" ht="12.75">
      <c r="A67" s="84"/>
      <c r="B67" s="651" t="s">
        <v>171</v>
      </c>
      <c r="C67" s="359">
        <v>5281886</v>
      </c>
      <c r="D67" s="715">
        <v>5155256</v>
      </c>
      <c r="E67" s="624">
        <v>4287004</v>
      </c>
      <c r="F67" s="379">
        <f>+C67-E67</f>
        <v>994882</v>
      </c>
      <c r="G67" s="561"/>
      <c r="H67" s="561"/>
      <c r="I67" s="340"/>
      <c r="J67" s="230"/>
      <c r="K67" s="230"/>
      <c r="L67" s="230"/>
      <c r="M67" s="248"/>
      <c r="N67" s="248"/>
      <c r="O67" s="248"/>
      <c r="P67" s="248"/>
      <c r="Q67" s="248"/>
      <c r="R67" s="230"/>
      <c r="S67" s="230"/>
      <c r="T67" s="230"/>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row>
    <row r="68" spans="1:155" ht="12.75" customHeight="1" hidden="1">
      <c r="A68" s="84"/>
      <c r="B68" s="651" t="s">
        <v>481</v>
      </c>
      <c r="C68" s="388">
        <v>0</v>
      </c>
      <c r="D68" s="733">
        <v>0</v>
      </c>
      <c r="E68" s="633">
        <v>0</v>
      </c>
      <c r="F68" s="443"/>
      <c r="H68" s="564"/>
      <c r="J68" s="230"/>
      <c r="K68" s="230"/>
      <c r="L68" s="230"/>
      <c r="M68" s="248"/>
      <c r="N68" s="248"/>
      <c r="O68" s="248"/>
      <c r="P68" s="248"/>
      <c r="Q68" s="248"/>
      <c r="R68" s="230"/>
      <c r="S68" s="230"/>
      <c r="T68" s="230"/>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row>
    <row r="69" spans="1:155" ht="12.75">
      <c r="A69" s="84"/>
      <c r="B69" s="269" t="s">
        <v>563</v>
      </c>
      <c r="C69" s="553">
        <v>605718</v>
      </c>
      <c r="D69" s="715">
        <v>1104757</v>
      </c>
      <c r="E69" s="624">
        <v>402907</v>
      </c>
      <c r="F69" s="379">
        <f>+C69-E69</f>
        <v>202811</v>
      </c>
      <c r="H69" s="552"/>
      <c r="J69" s="230"/>
      <c r="K69" s="230"/>
      <c r="L69" s="230"/>
      <c r="M69" s="248"/>
      <c r="N69" s="248"/>
      <c r="O69" s="248"/>
      <c r="P69" s="248"/>
      <c r="Q69" s="248"/>
      <c r="R69" s="230"/>
      <c r="S69" s="230"/>
      <c r="T69" s="230"/>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row>
    <row r="70" spans="1:155" ht="13.5" customHeight="1">
      <c r="A70" s="84"/>
      <c r="B70" s="269" t="s">
        <v>564</v>
      </c>
      <c r="C70" s="514">
        <v>16484</v>
      </c>
      <c r="D70" s="715">
        <v>14560</v>
      </c>
      <c r="E70" s="634">
        <v>0</v>
      </c>
      <c r="F70" s="379">
        <f>+C70-E70</f>
        <v>16484</v>
      </c>
      <c r="H70" s="568"/>
      <c r="J70" s="230"/>
      <c r="K70" s="230"/>
      <c r="L70" s="230"/>
      <c r="M70" s="248"/>
      <c r="N70" s="248"/>
      <c r="O70" s="248"/>
      <c r="P70" s="248"/>
      <c r="Q70" s="248"/>
      <c r="R70" s="230"/>
      <c r="S70" s="230"/>
      <c r="T70" s="230"/>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row>
    <row r="71" spans="1:155" ht="15" customHeight="1">
      <c r="A71" s="84"/>
      <c r="B71" s="269" t="s">
        <v>567</v>
      </c>
      <c r="C71" s="431"/>
      <c r="D71" s="734"/>
      <c r="E71" s="631"/>
      <c r="F71" s="349"/>
      <c r="I71" s="230"/>
      <c r="J71" s="230"/>
      <c r="K71" s="230"/>
      <c r="L71" s="230"/>
      <c r="M71" s="248"/>
      <c r="N71" s="248"/>
      <c r="O71" s="248"/>
      <c r="P71" s="248"/>
      <c r="Q71" s="248"/>
      <c r="R71" s="230"/>
      <c r="S71" s="230"/>
      <c r="T71" s="230"/>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row>
    <row r="72" spans="1:155" ht="12.75">
      <c r="A72" s="84"/>
      <c r="B72" s="269" t="s">
        <v>482</v>
      </c>
      <c r="C72" s="514">
        <v>112360</v>
      </c>
      <c r="D72" s="734">
        <v>66150</v>
      </c>
      <c r="E72" s="634">
        <v>0</v>
      </c>
      <c r="F72" s="379">
        <f aca="true" t="shared" si="0" ref="F72:F78">+C72-E72</f>
        <v>112360</v>
      </c>
      <c r="G72" s="515"/>
      <c r="H72" s="552"/>
      <c r="I72" s="230"/>
      <c r="J72" s="230"/>
      <c r="K72" s="230"/>
      <c r="L72" s="230"/>
      <c r="M72" s="248"/>
      <c r="N72" s="248"/>
      <c r="O72" s="248"/>
      <c r="P72" s="248"/>
      <c r="Q72" s="248"/>
      <c r="R72" s="230"/>
      <c r="S72" s="230"/>
      <c r="T72" s="230"/>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row>
    <row r="73" spans="1:155" ht="12.75">
      <c r="A73" s="84"/>
      <c r="B73" s="269" t="s">
        <v>565</v>
      </c>
      <c r="C73" s="514">
        <v>28090</v>
      </c>
      <c r="D73" s="715">
        <v>16575</v>
      </c>
      <c r="E73" s="634">
        <v>0</v>
      </c>
      <c r="F73" s="379">
        <f t="shared" si="0"/>
        <v>28090</v>
      </c>
      <c r="H73" s="552"/>
      <c r="I73" s="230"/>
      <c r="J73" s="230"/>
      <c r="K73" s="230"/>
      <c r="L73" s="230"/>
      <c r="M73" s="248"/>
      <c r="N73" s="248"/>
      <c r="O73" s="248"/>
      <c r="P73" s="248"/>
      <c r="Q73" s="248"/>
      <c r="R73" s="230"/>
      <c r="S73" s="230"/>
      <c r="T73" s="230"/>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row>
    <row r="74" spans="1:155" ht="12.75">
      <c r="A74" s="84"/>
      <c r="B74" s="269" t="s">
        <v>566</v>
      </c>
      <c r="C74" s="553">
        <v>2845</v>
      </c>
      <c r="D74" s="715">
        <v>0</v>
      </c>
      <c r="E74" s="624">
        <v>2845</v>
      </c>
      <c r="F74" s="379">
        <f t="shared" si="0"/>
        <v>0</v>
      </c>
      <c r="H74" s="552"/>
      <c r="I74" s="230"/>
      <c r="J74" s="230"/>
      <c r="K74" s="230"/>
      <c r="L74" s="230"/>
      <c r="M74" s="248"/>
      <c r="N74" s="248"/>
      <c r="O74" s="248"/>
      <c r="P74" s="248"/>
      <c r="Q74" s="248"/>
      <c r="R74" s="230"/>
      <c r="S74" s="230"/>
      <c r="T74" s="230"/>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row>
    <row r="75" spans="1:155" ht="12.75">
      <c r="A75" s="84"/>
      <c r="B75" s="269" t="s">
        <v>568</v>
      </c>
      <c r="C75" s="553">
        <v>11103148</v>
      </c>
      <c r="D75" s="715">
        <v>7744245</v>
      </c>
      <c r="E75" s="624">
        <v>7287678</v>
      </c>
      <c r="F75" s="379">
        <f t="shared" si="0"/>
        <v>3815470</v>
      </c>
      <c r="I75" s="230"/>
      <c r="J75" s="230"/>
      <c r="K75" s="230"/>
      <c r="L75" s="230"/>
      <c r="M75" s="248"/>
      <c r="N75" s="248"/>
      <c r="O75" s="248"/>
      <c r="P75" s="248"/>
      <c r="Q75" s="248"/>
      <c r="R75" s="230"/>
      <c r="S75" s="230"/>
      <c r="T75" s="230"/>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row>
    <row r="76" spans="1:155" ht="12.75">
      <c r="A76" s="84"/>
      <c r="B76" s="269" t="s">
        <v>569</v>
      </c>
      <c r="C76" s="553">
        <v>1407637</v>
      </c>
      <c r="D76" s="715">
        <v>1744845</v>
      </c>
      <c r="E76" s="624">
        <v>1033416</v>
      </c>
      <c r="F76" s="379">
        <f t="shared" si="0"/>
        <v>374221</v>
      </c>
      <c r="I76" s="239"/>
      <c r="J76" s="230"/>
      <c r="K76" s="239"/>
      <c r="L76" s="230"/>
      <c r="M76" s="248"/>
      <c r="N76" s="248"/>
      <c r="O76" s="248"/>
      <c r="P76" s="248"/>
      <c r="Q76" s="248"/>
      <c r="R76" s="230"/>
      <c r="S76" s="230"/>
      <c r="T76" s="230"/>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row>
    <row r="77" spans="1:155" ht="12.75">
      <c r="A77" s="84"/>
      <c r="B77" s="269" t="s">
        <v>570</v>
      </c>
      <c r="C77" s="514">
        <v>55808</v>
      </c>
      <c r="D77" s="715">
        <v>53764</v>
      </c>
      <c r="E77" s="634">
        <v>0</v>
      </c>
      <c r="F77" s="379">
        <f t="shared" si="0"/>
        <v>55808</v>
      </c>
      <c r="H77" s="309"/>
      <c r="I77" s="239"/>
      <c r="J77" s="230"/>
      <c r="K77" s="230"/>
      <c r="L77" s="230"/>
      <c r="M77" s="248"/>
      <c r="N77" s="248"/>
      <c r="O77" s="248"/>
      <c r="P77" s="248"/>
      <c r="Q77" s="248"/>
      <c r="R77" s="230"/>
      <c r="S77" s="230"/>
      <c r="T77" s="230"/>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row>
    <row r="78" spans="1:155" ht="12.75">
      <c r="A78" s="84"/>
      <c r="B78" s="269" t="s">
        <v>571</v>
      </c>
      <c r="C78" s="734">
        <v>1707350</v>
      </c>
      <c r="D78" s="729">
        <v>6040802</v>
      </c>
      <c r="E78" s="372">
        <v>1233482.13</v>
      </c>
      <c r="F78" s="379">
        <f t="shared" si="0"/>
        <v>473867.8700000001</v>
      </c>
      <c r="I78" s="239"/>
      <c r="J78" s="230"/>
      <c r="K78" s="230"/>
      <c r="L78" s="230"/>
      <c r="M78" s="248"/>
      <c r="N78" s="248"/>
      <c r="O78" s="248"/>
      <c r="P78" s="248"/>
      <c r="Q78" s="248"/>
      <c r="R78" s="230"/>
      <c r="S78" s="230"/>
      <c r="T78" s="230"/>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row>
    <row r="79" spans="1:155" ht="13.5" thickBot="1">
      <c r="A79" s="84"/>
      <c r="B79" s="269"/>
      <c r="C79" s="735">
        <v>58414949</v>
      </c>
      <c r="D79" s="735">
        <v>45095107</v>
      </c>
      <c r="E79" s="635">
        <v>41902036.970000006</v>
      </c>
      <c r="F79" s="380">
        <f>SUM(F63:F78)</f>
        <v>16512912.030000001</v>
      </c>
      <c r="I79" s="230"/>
      <c r="J79" s="230"/>
      <c r="K79" s="230"/>
      <c r="L79" s="230"/>
      <c r="M79" s="248"/>
      <c r="N79" s="248"/>
      <c r="O79" s="248"/>
      <c r="P79" s="248"/>
      <c r="Q79" s="248"/>
      <c r="R79" s="230"/>
      <c r="S79" s="230"/>
      <c r="T79" s="230"/>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4"/>
      <c r="ES79" s="84"/>
      <c r="ET79" s="84"/>
      <c r="EU79" s="84"/>
      <c r="EV79" s="84"/>
      <c r="EW79" s="84"/>
      <c r="EX79" s="84"/>
      <c r="EY79" s="84"/>
    </row>
    <row r="80" spans="1:155" ht="13.5" thickTop="1">
      <c r="A80" s="84"/>
      <c r="B80" s="241" t="s">
        <v>353</v>
      </c>
      <c r="C80" s="721"/>
      <c r="D80" s="733"/>
      <c r="E80" s="407"/>
      <c r="F80" s="343"/>
      <c r="I80" s="230"/>
      <c r="J80" s="230"/>
      <c r="K80" s="230"/>
      <c r="L80" s="230"/>
      <c r="M80" s="248"/>
      <c r="N80" s="248"/>
      <c r="O80" s="248"/>
      <c r="P80" s="248"/>
      <c r="Q80" s="248"/>
      <c r="R80" s="230"/>
      <c r="S80" s="230"/>
      <c r="T80" s="230"/>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84"/>
      <c r="EG80" s="84"/>
      <c r="EH80" s="84"/>
      <c r="EI80" s="84"/>
      <c r="EJ80" s="84"/>
      <c r="EK80" s="84"/>
      <c r="EL80" s="84"/>
      <c r="EM80" s="84"/>
      <c r="EN80" s="84"/>
      <c r="EO80" s="84"/>
      <c r="EP80" s="84"/>
      <c r="EQ80" s="84"/>
      <c r="ER80" s="84"/>
      <c r="ES80" s="84"/>
      <c r="ET80" s="84"/>
      <c r="EU80" s="84"/>
      <c r="EV80" s="84"/>
      <c r="EW80" s="84"/>
      <c r="EX80" s="84"/>
      <c r="EY80" s="84"/>
    </row>
    <row r="81" spans="1:155" ht="12.75">
      <c r="A81" s="84"/>
      <c r="B81" s="241" t="s">
        <v>529</v>
      </c>
      <c r="C81" s="721"/>
      <c r="D81" s="733"/>
      <c r="E81" s="407"/>
      <c r="F81" s="343"/>
      <c r="I81" s="230"/>
      <c r="J81" s="230"/>
      <c r="K81" s="230"/>
      <c r="L81" s="230"/>
      <c r="M81" s="248"/>
      <c r="N81" s="248"/>
      <c r="O81" s="248"/>
      <c r="P81" s="248"/>
      <c r="Q81" s="248"/>
      <c r="R81" s="230"/>
      <c r="S81" s="230"/>
      <c r="T81" s="230"/>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84"/>
      <c r="EG81" s="84"/>
      <c r="EH81" s="84"/>
      <c r="EI81" s="84"/>
      <c r="EJ81" s="84"/>
      <c r="EK81" s="84"/>
      <c r="EL81" s="84"/>
      <c r="EM81" s="84"/>
      <c r="EN81" s="84"/>
      <c r="EO81" s="84"/>
      <c r="EP81" s="84"/>
      <c r="EQ81" s="84"/>
      <c r="ER81" s="84"/>
      <c r="ES81" s="84"/>
      <c r="ET81" s="84"/>
      <c r="EU81" s="84"/>
      <c r="EV81" s="84"/>
      <c r="EW81" s="84"/>
      <c r="EX81" s="84"/>
      <c r="EY81" s="84"/>
    </row>
    <row r="82" spans="1:155" ht="25.5">
      <c r="A82" s="84"/>
      <c r="B82" s="288" t="s">
        <v>384</v>
      </c>
      <c r="C82" s="733">
        <v>25073272</v>
      </c>
      <c r="D82" s="733">
        <v>5712281</v>
      </c>
      <c r="E82" s="83">
        <v>25257977.370744318</v>
      </c>
      <c r="F82" s="381">
        <f>+'P &amp; L'!H25</f>
        <v>7904105.629255682</v>
      </c>
      <c r="H82" s="309"/>
      <c r="I82" s="230"/>
      <c r="J82" s="230"/>
      <c r="K82" s="230"/>
      <c r="L82" s="230"/>
      <c r="M82" s="248"/>
      <c r="N82" s="248"/>
      <c r="O82" s="248"/>
      <c r="P82" s="248"/>
      <c r="Q82" s="248"/>
      <c r="R82" s="230"/>
      <c r="S82" s="230"/>
      <c r="T82" s="230"/>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84"/>
      <c r="EG82" s="84"/>
      <c r="EH82" s="84"/>
      <c r="EI82" s="84"/>
      <c r="EJ82" s="84"/>
      <c r="EK82" s="84"/>
      <c r="EL82" s="84"/>
      <c r="EM82" s="84"/>
      <c r="EN82" s="84"/>
      <c r="EO82" s="84"/>
      <c r="EP82" s="84"/>
      <c r="EQ82" s="84"/>
      <c r="ER82" s="84"/>
      <c r="ES82" s="84"/>
      <c r="ET82" s="84"/>
      <c r="EU82" s="84"/>
      <c r="EV82" s="84"/>
      <c r="EW82" s="84"/>
      <c r="EX82" s="84"/>
      <c r="EY82" s="84"/>
    </row>
    <row r="83" spans="1:155" ht="12.75">
      <c r="A83" s="84"/>
      <c r="B83" s="288" t="s">
        <v>421</v>
      </c>
      <c r="C83" s="733">
        <v>10566760</v>
      </c>
      <c r="D83" s="733">
        <v>10215000</v>
      </c>
      <c r="E83" s="83">
        <v>10215000</v>
      </c>
      <c r="F83" s="381">
        <v>10215000</v>
      </c>
      <c r="I83" s="230"/>
      <c r="J83" s="230"/>
      <c r="K83" s="230"/>
      <c r="L83" s="230"/>
      <c r="M83" s="248"/>
      <c r="N83" s="248"/>
      <c r="O83" s="248"/>
      <c r="P83" s="248"/>
      <c r="Q83" s="248"/>
      <c r="R83" s="230"/>
      <c r="S83" s="230"/>
      <c r="T83" s="230"/>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c r="EN83" s="84"/>
      <c r="EO83" s="84"/>
      <c r="EP83" s="84"/>
      <c r="EQ83" s="84"/>
      <c r="ER83" s="84"/>
      <c r="ES83" s="84"/>
      <c r="ET83" s="84"/>
      <c r="EU83" s="84"/>
      <c r="EV83" s="84"/>
      <c r="EW83" s="84"/>
      <c r="EX83" s="84"/>
      <c r="EY83" s="84"/>
    </row>
    <row r="84" spans="1:155" ht="13.5" customHeight="1">
      <c r="A84" s="84"/>
      <c r="B84" s="288" t="s">
        <v>383</v>
      </c>
      <c r="C84" s="752">
        <v>2.372843899170607</v>
      </c>
      <c r="D84" s="752">
        <v>0.5592051884483602</v>
      </c>
      <c r="E84" s="636">
        <v>2.472636061746874</v>
      </c>
      <c r="F84" s="382">
        <f>+F82/F83</f>
        <v>0.7737744130450986</v>
      </c>
      <c r="I84" s="230"/>
      <c r="J84" s="230"/>
      <c r="K84" s="230"/>
      <c r="L84" s="230"/>
      <c r="M84" s="230"/>
      <c r="N84" s="230"/>
      <c r="O84" s="230"/>
      <c r="P84" s="230"/>
      <c r="Q84" s="230"/>
      <c r="R84" s="230"/>
      <c r="S84" s="230"/>
      <c r="T84" s="230"/>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c r="CY84" s="84"/>
      <c r="CZ84" s="84"/>
      <c r="DA84" s="84"/>
      <c r="DB84" s="84"/>
      <c r="DC84" s="84"/>
      <c r="DD84" s="84"/>
      <c r="DE84" s="84"/>
      <c r="DF84" s="84"/>
      <c r="DG84" s="84"/>
      <c r="DH84" s="84"/>
      <c r="DI84" s="84"/>
      <c r="DJ84" s="84"/>
      <c r="DK84" s="84"/>
      <c r="DL84" s="84"/>
      <c r="DM84" s="84"/>
      <c r="DN84" s="84"/>
      <c r="DO84" s="84"/>
      <c r="DP84" s="84"/>
      <c r="DQ84" s="84"/>
      <c r="DR84" s="84"/>
      <c r="DS84" s="84"/>
      <c r="DT84" s="84"/>
      <c r="DU84" s="84"/>
      <c r="DV84" s="84"/>
      <c r="DW84" s="84"/>
      <c r="DX84" s="84"/>
      <c r="DY84" s="84"/>
      <c r="DZ84" s="84"/>
      <c r="EA84" s="84"/>
      <c r="EB84" s="84"/>
      <c r="EC84" s="84"/>
      <c r="ED84" s="84"/>
      <c r="EE84" s="84"/>
      <c r="EF84" s="84"/>
      <c r="EG84" s="84"/>
      <c r="EH84" s="84"/>
      <c r="EI84" s="84"/>
      <c r="EJ84" s="84"/>
      <c r="EK84" s="84"/>
      <c r="EL84" s="84"/>
      <c r="EM84" s="84"/>
      <c r="EN84" s="84"/>
      <c r="EO84" s="84"/>
      <c r="EP84" s="84"/>
      <c r="EQ84" s="84"/>
      <c r="ER84" s="84"/>
      <c r="ES84" s="84"/>
      <c r="ET84" s="84"/>
      <c r="EU84" s="84"/>
      <c r="EV84" s="84"/>
      <c r="EW84" s="84"/>
      <c r="EX84" s="84"/>
      <c r="EY84" s="84"/>
    </row>
    <row r="85" spans="1:155" ht="12.75">
      <c r="A85" s="84"/>
      <c r="B85" s="288" t="s">
        <v>382</v>
      </c>
      <c r="C85" s="752">
        <v>2.372843899170607</v>
      </c>
      <c r="D85" s="752">
        <v>0.5592051884483602</v>
      </c>
      <c r="E85" s="636">
        <v>2.472636061746874</v>
      </c>
      <c r="F85" s="382">
        <f>+F82/F83</f>
        <v>0.7737744130450986</v>
      </c>
      <c r="I85" s="230"/>
      <c r="J85" s="230"/>
      <c r="K85" s="230"/>
      <c r="L85" s="230"/>
      <c r="M85" s="230"/>
      <c r="N85" s="230"/>
      <c r="O85" s="230"/>
      <c r="P85" s="230"/>
      <c r="Q85" s="230"/>
      <c r="R85" s="230"/>
      <c r="S85" s="230"/>
      <c r="T85" s="230"/>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c r="CU85" s="84"/>
      <c r="CV85" s="84"/>
      <c r="CW85" s="84"/>
      <c r="CX85" s="84"/>
      <c r="CY85" s="84"/>
      <c r="CZ85" s="84"/>
      <c r="DA85" s="84"/>
      <c r="DB85" s="84"/>
      <c r="DC85" s="84"/>
      <c r="DD85" s="84"/>
      <c r="DE85" s="84"/>
      <c r="DF85" s="84"/>
      <c r="DG85" s="84"/>
      <c r="DH85" s="84"/>
      <c r="DI85" s="84"/>
      <c r="DJ85" s="84"/>
      <c r="DK85" s="84"/>
      <c r="DL85" s="84"/>
      <c r="DM85" s="84"/>
      <c r="DN85" s="84"/>
      <c r="DO85" s="84"/>
      <c r="DP85" s="84"/>
      <c r="DQ85" s="84"/>
      <c r="DR85" s="84"/>
      <c r="DS85" s="84"/>
      <c r="DT85" s="84"/>
      <c r="DU85" s="84"/>
      <c r="DV85" s="84"/>
      <c r="DW85" s="84"/>
      <c r="DX85" s="84"/>
      <c r="DY85" s="84"/>
      <c r="DZ85" s="84"/>
      <c r="EA85" s="84"/>
      <c r="EB85" s="84"/>
      <c r="EC85" s="84"/>
      <c r="ED85" s="84"/>
      <c r="EE85" s="84"/>
      <c r="EF85" s="84"/>
      <c r="EG85" s="84"/>
      <c r="EH85" s="84"/>
      <c r="EI85" s="84"/>
      <c r="EJ85" s="84"/>
      <c r="EK85" s="84"/>
      <c r="EL85" s="84"/>
      <c r="EM85" s="84"/>
      <c r="EN85" s="84"/>
      <c r="EO85" s="84"/>
      <c r="EP85" s="84"/>
      <c r="EQ85" s="84"/>
      <c r="ER85" s="84"/>
      <c r="ES85" s="84"/>
      <c r="ET85" s="84"/>
      <c r="EU85" s="84"/>
      <c r="EV85" s="84"/>
      <c r="EW85" s="84"/>
      <c r="EX85" s="84"/>
      <c r="EY85" s="84"/>
    </row>
    <row r="86" spans="1:155" ht="12.75">
      <c r="A86" s="84"/>
      <c r="B86" s="654" t="s">
        <v>422</v>
      </c>
      <c r="C86" s="736"/>
      <c r="D86" s="737"/>
      <c r="E86" s="637"/>
      <c r="F86" s="350"/>
      <c r="I86" s="230"/>
      <c r="J86" s="230"/>
      <c r="K86" s="230"/>
      <c r="L86" s="230"/>
      <c r="M86" s="230"/>
      <c r="N86" s="230"/>
      <c r="O86" s="230"/>
      <c r="P86" s="230"/>
      <c r="Q86" s="230"/>
      <c r="R86" s="230"/>
      <c r="S86" s="230"/>
      <c r="T86" s="230"/>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c r="CU86" s="84"/>
      <c r="CV86" s="84"/>
      <c r="CW86" s="84"/>
      <c r="CX86" s="84"/>
      <c r="CY86" s="84"/>
      <c r="CZ86" s="84"/>
      <c r="DA86" s="84"/>
      <c r="DB86" s="84"/>
      <c r="DC86" s="84"/>
      <c r="DD86" s="84"/>
      <c r="DE86" s="84"/>
      <c r="DF86" s="84"/>
      <c r="DG86" s="84"/>
      <c r="DH86" s="84"/>
      <c r="DI86" s="84"/>
      <c r="DJ86" s="84"/>
      <c r="DK86" s="84"/>
      <c r="DL86" s="84"/>
      <c r="DM86" s="84"/>
      <c r="DN86" s="84"/>
      <c r="DO86" s="84"/>
      <c r="DP86" s="84"/>
      <c r="DQ86" s="84"/>
      <c r="DR86" s="84"/>
      <c r="DS86" s="84"/>
      <c r="DT86" s="84"/>
      <c r="DU86" s="84"/>
      <c r="DV86" s="84"/>
      <c r="DW86" s="84"/>
      <c r="DX86" s="84"/>
      <c r="DY86" s="84"/>
      <c r="DZ86" s="84"/>
      <c r="EA86" s="84"/>
      <c r="EB86" s="84"/>
      <c r="EC86" s="84"/>
      <c r="ED86" s="84"/>
      <c r="EE86" s="84"/>
      <c r="EF86" s="84"/>
      <c r="EG86" s="84"/>
      <c r="EH86" s="84"/>
      <c r="EI86" s="84"/>
      <c r="EJ86" s="84"/>
      <c r="EK86" s="84"/>
      <c r="EL86" s="84"/>
      <c r="EM86" s="84"/>
      <c r="EN86" s="84"/>
      <c r="EO86" s="84"/>
      <c r="EP86" s="84"/>
      <c r="EQ86" s="84"/>
      <c r="ER86" s="84"/>
      <c r="ES86" s="84"/>
      <c r="ET86" s="84"/>
      <c r="EU86" s="84"/>
      <c r="EV86" s="84"/>
      <c r="EW86" s="84"/>
      <c r="EX86" s="84"/>
      <c r="EY86" s="84"/>
    </row>
    <row r="87" spans="1:155" ht="12.75" customHeight="1" hidden="1">
      <c r="A87" s="84" t="s">
        <v>523</v>
      </c>
      <c r="B87" s="280" t="s">
        <v>522</v>
      </c>
      <c r="C87" s="738"/>
      <c r="D87" s="648"/>
      <c r="E87" s="638"/>
      <c r="F87" s="383"/>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4"/>
      <c r="BR87" s="84"/>
      <c r="BS87" s="84"/>
      <c r="BT87" s="84"/>
      <c r="BU87" s="84"/>
      <c r="BV87" s="84"/>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c r="CU87" s="84"/>
      <c r="CV87" s="84"/>
      <c r="CW87" s="84"/>
      <c r="CX87" s="84"/>
      <c r="CY87" s="84"/>
      <c r="CZ87" s="84"/>
      <c r="DA87" s="84"/>
      <c r="DB87" s="84"/>
      <c r="DC87" s="84"/>
      <c r="DD87" s="84"/>
      <c r="DE87" s="84"/>
      <c r="DF87" s="84"/>
      <c r="DG87" s="84"/>
      <c r="DH87" s="84"/>
      <c r="DI87" s="84"/>
      <c r="DJ87" s="84"/>
      <c r="DK87" s="84"/>
      <c r="DL87" s="84"/>
      <c r="DM87" s="84"/>
      <c r="DN87" s="84"/>
      <c r="DO87" s="84"/>
      <c r="DP87" s="84"/>
      <c r="DQ87" s="84"/>
      <c r="DR87" s="84"/>
      <c r="DS87" s="84"/>
      <c r="DT87" s="84"/>
      <c r="DU87" s="84"/>
      <c r="DV87" s="84"/>
      <c r="DW87" s="84"/>
      <c r="DX87" s="84"/>
      <c r="DY87" s="84"/>
      <c r="DZ87" s="84"/>
      <c r="EA87" s="84"/>
      <c r="EB87" s="84"/>
      <c r="EC87" s="84"/>
      <c r="ED87" s="84"/>
      <c r="EE87" s="84"/>
      <c r="EF87" s="84"/>
      <c r="EG87" s="84"/>
      <c r="EH87" s="84"/>
      <c r="EI87" s="84"/>
      <c r="EJ87" s="84"/>
      <c r="EK87" s="84"/>
      <c r="EL87" s="84"/>
      <c r="EM87" s="84"/>
      <c r="EN87" s="84"/>
      <c r="EO87" s="84"/>
      <c r="EP87" s="84"/>
      <c r="EQ87" s="84"/>
      <c r="ER87" s="84"/>
      <c r="ES87" s="84"/>
      <c r="ET87" s="84"/>
      <c r="EU87" s="84"/>
      <c r="EV87" s="84"/>
      <c r="EW87" s="84"/>
      <c r="EX87" s="84"/>
      <c r="EY87" s="84"/>
    </row>
    <row r="88" spans="1:155" ht="12.75" customHeight="1" hidden="1">
      <c r="A88" s="84"/>
      <c r="B88" s="261" t="s">
        <v>433</v>
      </c>
      <c r="C88" s="59">
        <v>5216825</v>
      </c>
      <c r="D88" s="263">
        <v>3439569.2366175093</v>
      </c>
      <c r="E88" s="510">
        <v>5216825</v>
      </c>
      <c r="F88" s="413">
        <f>+E93</f>
        <v>4467465</v>
      </c>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4"/>
      <c r="DB88" s="84"/>
      <c r="DC88" s="84"/>
      <c r="DD88" s="84"/>
      <c r="DE88" s="84"/>
      <c r="DF88" s="84"/>
      <c r="DG88" s="84"/>
      <c r="DH88" s="84"/>
      <c r="DI88" s="84"/>
      <c r="DJ88" s="84"/>
      <c r="DK88" s="84"/>
      <c r="DL88" s="84"/>
      <c r="DM88" s="84"/>
      <c r="DN88" s="84"/>
      <c r="DO88" s="84"/>
      <c r="DP88" s="84"/>
      <c r="DQ88" s="84"/>
      <c r="DR88" s="84"/>
      <c r="DS88" s="84"/>
      <c r="DT88" s="84"/>
      <c r="DU88" s="84"/>
      <c r="DV88" s="84"/>
      <c r="DW88" s="84"/>
      <c r="DX88" s="84"/>
      <c r="DY88" s="84"/>
      <c r="DZ88" s="84"/>
      <c r="EA88" s="84"/>
      <c r="EB88" s="84"/>
      <c r="EC88" s="84"/>
      <c r="ED88" s="84"/>
      <c r="EE88" s="84"/>
      <c r="EF88" s="84"/>
      <c r="EG88" s="84"/>
      <c r="EH88" s="84"/>
      <c r="EI88" s="84"/>
      <c r="EJ88" s="84"/>
      <c r="EK88" s="84"/>
      <c r="EL88" s="84"/>
      <c r="EM88" s="84"/>
      <c r="EN88" s="84"/>
      <c r="EO88" s="84"/>
      <c r="EP88" s="84"/>
      <c r="EQ88" s="84"/>
      <c r="ER88" s="84"/>
      <c r="ES88" s="84"/>
      <c r="ET88" s="84"/>
      <c r="EU88" s="84"/>
      <c r="EV88" s="84"/>
      <c r="EW88" s="84"/>
      <c r="EX88" s="84"/>
      <c r="EY88" s="84"/>
    </row>
    <row r="89" spans="1:155" ht="13.5" customHeight="1" hidden="1">
      <c r="A89" s="84"/>
      <c r="B89" s="261" t="s">
        <v>434</v>
      </c>
      <c r="C89" s="387">
        <v>23527877.24</v>
      </c>
      <c r="D89" s="649">
        <v>16125239.61</v>
      </c>
      <c r="E89" s="639">
        <v>16804919.84</v>
      </c>
      <c r="F89" s="387">
        <f>+C89-E89</f>
        <v>6722957.3999999985</v>
      </c>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c r="EJ89" s="84"/>
      <c r="EK89" s="84"/>
      <c r="EL89" s="84"/>
      <c r="EM89" s="84"/>
      <c r="EN89" s="84"/>
      <c r="EO89" s="84"/>
      <c r="EP89" s="84"/>
      <c r="EQ89" s="84"/>
      <c r="ER89" s="84"/>
      <c r="ES89" s="84"/>
      <c r="ET89" s="84"/>
      <c r="EU89" s="84"/>
      <c r="EV89" s="84"/>
      <c r="EW89" s="84"/>
      <c r="EX89" s="84"/>
      <c r="EY89" s="84"/>
    </row>
    <row r="90" spans="1:155" ht="13.5" customHeight="1" hidden="1">
      <c r="A90" s="84"/>
      <c r="B90" s="261"/>
      <c r="C90" s="263">
        <v>28744702.24</v>
      </c>
      <c r="D90" s="263">
        <v>19564808.84661751</v>
      </c>
      <c r="E90" s="640">
        <v>22021744.84</v>
      </c>
      <c r="F90" s="263">
        <f>+F88+F89</f>
        <v>11190422.399999999</v>
      </c>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c r="EN90" s="84"/>
      <c r="EO90" s="84"/>
      <c r="EP90" s="84"/>
      <c r="EQ90" s="84"/>
      <c r="ER90" s="84"/>
      <c r="ES90" s="84"/>
      <c r="ET90" s="84"/>
      <c r="EU90" s="84"/>
      <c r="EV90" s="84"/>
      <c r="EW90" s="84"/>
      <c r="EX90" s="84"/>
      <c r="EY90" s="84"/>
    </row>
    <row r="91" spans="1:155" ht="31.5" customHeight="1" hidden="1">
      <c r="A91" s="84"/>
      <c r="B91" s="261" t="s">
        <v>435</v>
      </c>
      <c r="C91" s="739">
        <v>0</v>
      </c>
      <c r="D91" s="649">
        <v>10040</v>
      </c>
      <c r="E91" s="641">
        <v>0</v>
      </c>
      <c r="F91" s="444">
        <f>+C91-E91</f>
        <v>0</v>
      </c>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c r="EN91" s="84"/>
      <c r="EO91" s="84"/>
      <c r="EP91" s="84"/>
      <c r="EQ91" s="84"/>
      <c r="ER91" s="84"/>
      <c r="ES91" s="84"/>
      <c r="ET91" s="84"/>
      <c r="EU91" s="84"/>
      <c r="EV91" s="84"/>
      <c r="EW91" s="84"/>
      <c r="EX91" s="84"/>
      <c r="EY91" s="84"/>
    </row>
    <row r="92" spans="1:155" ht="20.25" customHeight="1">
      <c r="A92" s="84"/>
      <c r="B92" s="261"/>
      <c r="C92" s="263">
        <v>28744702.24</v>
      </c>
      <c r="D92" s="263">
        <v>19554768.84661751</v>
      </c>
      <c r="E92" s="640">
        <v>22021744.84</v>
      </c>
      <c r="F92" s="263">
        <f>+F90-F91</f>
        <v>11190422.399999999</v>
      </c>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c r="EN92" s="84"/>
      <c r="EO92" s="84"/>
      <c r="EP92" s="84"/>
      <c r="EQ92" s="84"/>
      <c r="ER92" s="84"/>
      <c r="ES92" s="84"/>
      <c r="ET92" s="84"/>
      <c r="EU92" s="84"/>
      <c r="EV92" s="84"/>
      <c r="EW92" s="84"/>
      <c r="EX92" s="84"/>
      <c r="EY92" s="84"/>
    </row>
    <row r="93" spans="1:155" ht="24" customHeight="1">
      <c r="A93" s="84"/>
      <c r="B93" s="261" t="s">
        <v>436</v>
      </c>
      <c r="C93" s="59">
        <v>4042220</v>
      </c>
      <c r="D93" s="263">
        <v>5216824.658000001</v>
      </c>
      <c r="E93" s="510">
        <v>4467465</v>
      </c>
      <c r="F93" s="413">
        <f>+C93</f>
        <v>4042220</v>
      </c>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c r="EN93" s="84"/>
      <c r="EO93" s="84"/>
      <c r="EP93" s="84"/>
      <c r="EQ93" s="84"/>
      <c r="ER93" s="84"/>
      <c r="ES93" s="84"/>
      <c r="ET93" s="84"/>
      <c r="EU93" s="84"/>
      <c r="EV93" s="84"/>
      <c r="EW93" s="84"/>
      <c r="EX93" s="84"/>
      <c r="EY93" s="84"/>
    </row>
    <row r="94" spans="1:155" ht="27.75" customHeight="1">
      <c r="A94" s="84"/>
      <c r="B94" s="267"/>
      <c r="C94" s="279">
        <v>24702482.24</v>
      </c>
      <c r="D94" s="279">
        <v>14337944.188617509</v>
      </c>
      <c r="E94" s="642">
        <v>17554279.84</v>
      </c>
      <c r="F94" s="279">
        <f>+F92-F93</f>
        <v>7148202.3999999985</v>
      </c>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c r="EN94" s="84"/>
      <c r="EO94" s="84"/>
      <c r="EP94" s="84"/>
      <c r="EQ94" s="84"/>
      <c r="ER94" s="84"/>
      <c r="ES94" s="84"/>
      <c r="ET94" s="84"/>
      <c r="EU94" s="84"/>
      <c r="EV94" s="84"/>
      <c r="EW94" s="84"/>
      <c r="EX94" s="84"/>
      <c r="EY94" s="84"/>
    </row>
    <row r="95" spans="1:155" ht="23.25" customHeight="1">
      <c r="A95" s="84"/>
      <c r="B95" s="281" t="s">
        <v>487</v>
      </c>
      <c r="C95" s="740"/>
      <c r="D95" s="741"/>
      <c r="E95" s="643"/>
      <c r="F95" s="3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c r="EN95" s="84"/>
      <c r="EO95" s="84"/>
      <c r="EP95" s="84"/>
      <c r="EQ95" s="84"/>
      <c r="ER95" s="84"/>
      <c r="ES95" s="84"/>
      <c r="ET95" s="84"/>
      <c r="EU95" s="84"/>
      <c r="EV95" s="84"/>
      <c r="EW95" s="84"/>
      <c r="EX95" s="84"/>
      <c r="EY95" s="84"/>
    </row>
    <row r="96" spans="1:155" ht="23.25" customHeight="1">
      <c r="A96" s="84"/>
      <c r="B96" s="282" t="s">
        <v>437</v>
      </c>
      <c r="C96" s="385">
        <v>64744</v>
      </c>
      <c r="D96" s="715">
        <v>90182</v>
      </c>
      <c r="E96" s="644">
        <v>36418</v>
      </c>
      <c r="F96" s="385">
        <f>+C96-E96</f>
        <v>28326</v>
      </c>
      <c r="I96" s="286"/>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c r="EN96" s="84"/>
      <c r="EO96" s="84"/>
      <c r="EP96" s="84"/>
      <c r="EQ96" s="84"/>
      <c r="ER96" s="84"/>
      <c r="ES96" s="84"/>
      <c r="ET96" s="84"/>
      <c r="EU96" s="84"/>
      <c r="EV96" s="84"/>
      <c r="EW96" s="84"/>
      <c r="EX96" s="84"/>
      <c r="EY96" s="84"/>
    </row>
    <row r="97" spans="1:155" ht="14.25" customHeight="1">
      <c r="A97" s="84"/>
      <c r="B97" s="283" t="s">
        <v>438</v>
      </c>
      <c r="C97" s="715">
        <v>396713</v>
      </c>
      <c r="D97" s="715">
        <v>427374</v>
      </c>
      <c r="E97" s="277">
        <v>218377</v>
      </c>
      <c r="F97" s="385">
        <f aca="true" t="shared" si="1" ref="F97:F106">+C97-E97</f>
        <v>178336</v>
      </c>
      <c r="I97" s="286"/>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c r="BN97" s="84"/>
      <c r="BO97" s="84"/>
      <c r="BP97" s="84"/>
      <c r="BQ97" s="84"/>
      <c r="BR97" s="84"/>
      <c r="BS97" s="84"/>
      <c r="BT97" s="84"/>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c r="CS97" s="84"/>
      <c r="CT97" s="84"/>
      <c r="CU97" s="84"/>
      <c r="CV97" s="84"/>
      <c r="CW97" s="84"/>
      <c r="CX97" s="84"/>
      <c r="CY97" s="84"/>
      <c r="CZ97" s="84"/>
      <c r="DA97" s="84"/>
      <c r="DB97" s="84"/>
      <c r="DC97" s="84"/>
      <c r="DD97" s="84"/>
      <c r="DE97" s="84"/>
      <c r="DF97" s="84"/>
      <c r="DG97" s="84"/>
      <c r="DH97" s="84"/>
      <c r="DI97" s="84"/>
      <c r="DJ97" s="84"/>
      <c r="DK97" s="84"/>
      <c r="DL97" s="84"/>
      <c r="DM97" s="84"/>
      <c r="DN97" s="84"/>
      <c r="DO97" s="84"/>
      <c r="DP97" s="84"/>
      <c r="DQ97" s="84"/>
      <c r="DR97" s="84"/>
      <c r="DS97" s="84"/>
      <c r="DT97" s="84"/>
      <c r="DU97" s="84"/>
      <c r="DV97" s="84"/>
      <c r="DW97" s="84"/>
      <c r="DX97" s="84"/>
      <c r="DY97" s="84"/>
      <c r="DZ97" s="84"/>
      <c r="EA97" s="84"/>
      <c r="EB97" s="84"/>
      <c r="EC97" s="84"/>
      <c r="ED97" s="84"/>
      <c r="EE97" s="84"/>
      <c r="EF97" s="84"/>
      <c r="EG97" s="84"/>
      <c r="EH97" s="84"/>
      <c r="EI97" s="84"/>
      <c r="EJ97" s="84"/>
      <c r="EK97" s="84"/>
      <c r="EL97" s="84"/>
      <c r="EM97" s="84"/>
      <c r="EN97" s="84"/>
      <c r="EO97" s="84"/>
      <c r="EP97" s="84"/>
      <c r="EQ97" s="84"/>
      <c r="ER97" s="84"/>
      <c r="ES97" s="84"/>
      <c r="ET97" s="84"/>
      <c r="EU97" s="84"/>
      <c r="EV97" s="84"/>
      <c r="EW97" s="84"/>
      <c r="EX97" s="84"/>
      <c r="EY97" s="84"/>
    </row>
    <row r="98" spans="1:155" ht="18.75" customHeight="1">
      <c r="A98" s="84"/>
      <c r="B98" s="269" t="s">
        <v>425</v>
      </c>
      <c r="C98" s="359">
        <v>250</v>
      </c>
      <c r="D98" s="733">
        <v>2946</v>
      </c>
      <c r="E98" s="624">
        <v>250</v>
      </c>
      <c r="F98" s="385">
        <f t="shared" si="1"/>
        <v>0</v>
      </c>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4"/>
      <c r="BQ98" s="84"/>
      <c r="BR98" s="84"/>
      <c r="BS98" s="84"/>
      <c r="BT98" s="84"/>
      <c r="BU98" s="84"/>
      <c r="BV98" s="84"/>
      <c r="BW98" s="84"/>
      <c r="BX98" s="84"/>
      <c r="BY98" s="84"/>
      <c r="BZ98" s="84"/>
      <c r="CA98" s="84"/>
      <c r="CB98" s="84"/>
      <c r="CC98" s="84"/>
      <c r="CD98" s="84"/>
      <c r="CE98" s="84"/>
      <c r="CF98" s="84"/>
      <c r="CG98" s="84"/>
      <c r="CH98" s="84"/>
      <c r="CI98" s="84"/>
      <c r="CJ98" s="84"/>
      <c r="CK98" s="84"/>
      <c r="CL98" s="84"/>
      <c r="CM98" s="84"/>
      <c r="CN98" s="84"/>
      <c r="CO98" s="84"/>
      <c r="CP98" s="84"/>
      <c r="CQ98" s="84"/>
      <c r="CR98" s="84"/>
      <c r="CS98" s="84"/>
      <c r="CT98" s="84"/>
      <c r="CU98" s="84"/>
      <c r="CV98" s="84"/>
      <c r="CW98" s="84"/>
      <c r="CX98" s="84"/>
      <c r="CY98" s="84"/>
      <c r="CZ98" s="84"/>
      <c r="DA98" s="84"/>
      <c r="DB98" s="84"/>
      <c r="DC98" s="84"/>
      <c r="DD98" s="84"/>
      <c r="DE98" s="84"/>
      <c r="DF98" s="84"/>
      <c r="DG98" s="84"/>
      <c r="DH98" s="84"/>
      <c r="DI98" s="84"/>
      <c r="DJ98" s="84"/>
      <c r="DK98" s="84"/>
      <c r="DL98" s="84"/>
      <c r="DM98" s="84"/>
      <c r="DN98" s="84"/>
      <c r="DO98" s="84"/>
      <c r="DP98" s="84"/>
      <c r="DQ98" s="84"/>
      <c r="DR98" s="84"/>
      <c r="DS98" s="84"/>
      <c r="DT98" s="84"/>
      <c r="DU98" s="84"/>
      <c r="DV98" s="84"/>
      <c r="DW98" s="84"/>
      <c r="DX98" s="84"/>
      <c r="DY98" s="84"/>
      <c r="DZ98" s="84"/>
      <c r="EA98" s="84"/>
      <c r="EB98" s="84"/>
      <c r="EC98" s="84"/>
      <c r="ED98" s="84"/>
      <c r="EE98" s="84"/>
      <c r="EF98" s="84"/>
      <c r="EG98" s="84"/>
      <c r="EH98" s="84"/>
      <c r="EI98" s="84"/>
      <c r="EJ98" s="84"/>
      <c r="EK98" s="84"/>
      <c r="EL98" s="84"/>
      <c r="EM98" s="84"/>
      <c r="EN98" s="84"/>
      <c r="EO98" s="84"/>
      <c r="EP98" s="84"/>
      <c r="EQ98" s="84"/>
      <c r="ER98" s="84"/>
      <c r="ES98" s="84"/>
      <c r="ET98" s="84"/>
      <c r="EU98" s="84"/>
      <c r="EV98" s="84"/>
      <c r="EW98" s="84"/>
      <c r="EX98" s="84"/>
      <c r="EY98" s="84"/>
    </row>
    <row r="99" spans="1:155" ht="15" customHeight="1">
      <c r="A99" s="84"/>
      <c r="B99" s="283" t="s">
        <v>439</v>
      </c>
      <c r="C99" s="733">
        <v>175503</v>
      </c>
      <c r="D99" s="733">
        <v>125253</v>
      </c>
      <c r="E99" s="83">
        <v>181094</v>
      </c>
      <c r="F99" s="385">
        <f t="shared" si="1"/>
        <v>-5591</v>
      </c>
      <c r="I99" s="286"/>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84"/>
      <c r="BT99" s="84"/>
      <c r="BU99" s="84"/>
      <c r="BV99" s="84"/>
      <c r="BW99" s="84"/>
      <c r="BX99" s="84"/>
      <c r="BY99" s="84"/>
      <c r="BZ99" s="84"/>
      <c r="CA99" s="84"/>
      <c r="CB99" s="84"/>
      <c r="CC99" s="84"/>
      <c r="CD99" s="84"/>
      <c r="CE99" s="84"/>
      <c r="CF99" s="84"/>
      <c r="CG99" s="84"/>
      <c r="CH99" s="84"/>
      <c r="CI99" s="84"/>
      <c r="CJ99" s="84"/>
      <c r="CK99" s="84"/>
      <c r="CL99" s="84"/>
      <c r="CM99" s="84"/>
      <c r="CN99" s="84"/>
      <c r="CO99" s="84"/>
      <c r="CP99" s="84"/>
      <c r="CQ99" s="84"/>
      <c r="CR99" s="84"/>
      <c r="CS99" s="84"/>
      <c r="CT99" s="84"/>
      <c r="CU99" s="84"/>
      <c r="CV99" s="84"/>
      <c r="CW99" s="84"/>
      <c r="CX99" s="84"/>
      <c r="CY99" s="84"/>
      <c r="CZ99" s="84"/>
      <c r="DA99" s="84"/>
      <c r="DB99" s="84"/>
      <c r="DC99" s="84"/>
      <c r="DD99" s="84"/>
      <c r="DE99" s="84"/>
      <c r="DF99" s="84"/>
      <c r="DG99" s="84"/>
      <c r="DH99" s="84"/>
      <c r="DI99" s="84"/>
      <c r="DJ99" s="84"/>
      <c r="DK99" s="84"/>
      <c r="DL99" s="84"/>
      <c r="DM99" s="84"/>
      <c r="DN99" s="84"/>
      <c r="DO99" s="84"/>
      <c r="DP99" s="84"/>
      <c r="DQ99" s="84"/>
      <c r="DR99" s="84"/>
      <c r="DS99" s="84"/>
      <c r="DT99" s="84"/>
      <c r="DU99" s="84"/>
      <c r="DV99" s="84"/>
      <c r="DW99" s="84"/>
      <c r="DX99" s="84"/>
      <c r="DY99" s="84"/>
      <c r="DZ99" s="84"/>
      <c r="EA99" s="84"/>
      <c r="EB99" s="84"/>
      <c r="EC99" s="84"/>
      <c r="ED99" s="84"/>
      <c r="EE99" s="84"/>
      <c r="EF99" s="84"/>
      <c r="EG99" s="84"/>
      <c r="EH99" s="84"/>
      <c r="EI99" s="84"/>
      <c r="EJ99" s="84"/>
      <c r="EK99" s="84"/>
      <c r="EL99" s="84"/>
      <c r="EM99" s="84"/>
      <c r="EN99" s="84"/>
      <c r="EO99" s="84"/>
      <c r="EP99" s="84"/>
      <c r="EQ99" s="84"/>
      <c r="ER99" s="84"/>
      <c r="ES99" s="84"/>
      <c r="ET99" s="84"/>
      <c r="EU99" s="84"/>
      <c r="EV99" s="84"/>
      <c r="EW99" s="84"/>
      <c r="EX99" s="84"/>
      <c r="EY99" s="84"/>
    </row>
    <row r="100" spans="1:155" ht="16.5" customHeight="1">
      <c r="A100" s="84"/>
      <c r="B100" s="283" t="s">
        <v>221</v>
      </c>
      <c r="C100" s="733">
        <v>124475</v>
      </c>
      <c r="D100" s="733">
        <v>1217669</v>
      </c>
      <c r="E100" s="83">
        <v>88520</v>
      </c>
      <c r="F100" s="385">
        <f t="shared" si="1"/>
        <v>35955</v>
      </c>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c r="BS100" s="84"/>
      <c r="BT100" s="84"/>
      <c r="BU100" s="84"/>
      <c r="BV100" s="84"/>
      <c r="BW100" s="84"/>
      <c r="BX100" s="84"/>
      <c r="BY100" s="84"/>
      <c r="BZ100" s="84"/>
      <c r="CA100" s="84"/>
      <c r="CB100" s="84"/>
      <c r="CC100" s="84"/>
      <c r="CD100" s="84"/>
      <c r="CE100" s="84"/>
      <c r="CF100" s="84"/>
      <c r="CG100" s="84"/>
      <c r="CH100" s="84"/>
      <c r="CI100" s="84"/>
      <c r="CJ100" s="84"/>
      <c r="CK100" s="84"/>
      <c r="CL100" s="84"/>
      <c r="CM100" s="84"/>
      <c r="CN100" s="84"/>
      <c r="CO100" s="84"/>
      <c r="CP100" s="84"/>
      <c r="CQ100" s="84"/>
      <c r="CR100" s="84"/>
      <c r="CS100" s="84"/>
      <c r="CT100" s="84"/>
      <c r="CU100" s="84"/>
      <c r="CV100" s="84"/>
      <c r="CW100" s="84"/>
      <c r="CX100" s="84"/>
      <c r="CY100" s="84"/>
      <c r="CZ100" s="84"/>
      <c r="DA100" s="84"/>
      <c r="DB100" s="84"/>
      <c r="DC100" s="84"/>
      <c r="DD100" s="84"/>
      <c r="DE100" s="84"/>
      <c r="DF100" s="84"/>
      <c r="DG100" s="84"/>
      <c r="DH100" s="84"/>
      <c r="DI100" s="84"/>
      <c r="DJ100" s="84"/>
      <c r="DK100" s="84"/>
      <c r="DL100" s="84"/>
      <c r="DM100" s="84"/>
      <c r="DN100" s="84"/>
      <c r="DO100" s="84"/>
      <c r="DP100" s="84"/>
      <c r="DQ100" s="84"/>
      <c r="DR100" s="84"/>
      <c r="DS100" s="84"/>
      <c r="DT100" s="84"/>
      <c r="DU100" s="84"/>
      <c r="DV100" s="84"/>
      <c r="DW100" s="84"/>
      <c r="DX100" s="84"/>
      <c r="DY100" s="84"/>
      <c r="DZ100" s="84"/>
      <c r="EA100" s="84"/>
      <c r="EB100" s="84"/>
      <c r="EC100" s="84"/>
      <c r="ED100" s="84"/>
      <c r="EE100" s="84"/>
      <c r="EF100" s="84"/>
      <c r="EG100" s="84"/>
      <c r="EH100" s="84"/>
      <c r="EI100" s="84"/>
      <c r="EJ100" s="84"/>
      <c r="EK100" s="84"/>
      <c r="EL100" s="84"/>
      <c r="EM100" s="84"/>
      <c r="EN100" s="84"/>
      <c r="EO100" s="84"/>
      <c r="EP100" s="84"/>
      <c r="EQ100" s="84"/>
      <c r="ER100" s="84"/>
      <c r="ES100" s="84"/>
      <c r="ET100" s="84"/>
      <c r="EU100" s="84"/>
      <c r="EV100" s="84"/>
      <c r="EW100" s="84"/>
      <c r="EX100" s="84"/>
      <c r="EY100" s="84"/>
    </row>
    <row r="101" spans="1:155" ht="19.5" customHeight="1">
      <c r="A101" s="84"/>
      <c r="B101" s="283" t="s">
        <v>451</v>
      </c>
      <c r="C101" s="733">
        <v>269005.19</v>
      </c>
      <c r="D101" s="733">
        <v>0</v>
      </c>
      <c r="E101" s="83">
        <v>0</v>
      </c>
      <c r="F101" s="385">
        <f t="shared" si="1"/>
        <v>269005.19</v>
      </c>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c r="CA101" s="84"/>
      <c r="CB101" s="84"/>
      <c r="CC101" s="84"/>
      <c r="CD101" s="84"/>
      <c r="CE101" s="84"/>
      <c r="CF101" s="84"/>
      <c r="CG101" s="84"/>
      <c r="CH101" s="84"/>
      <c r="CI101" s="84"/>
      <c r="CJ101" s="84"/>
      <c r="CK101" s="84"/>
      <c r="CL101" s="84"/>
      <c r="CM101" s="84"/>
      <c r="CN101" s="84"/>
      <c r="CO101" s="84"/>
      <c r="CP101" s="84"/>
      <c r="CQ101" s="84"/>
      <c r="CR101" s="84"/>
      <c r="CS101" s="84"/>
      <c r="CT101" s="84"/>
      <c r="CU101" s="84"/>
      <c r="CV101" s="84"/>
      <c r="CW101" s="84"/>
      <c r="CX101" s="84"/>
      <c r="CY101" s="84"/>
      <c r="CZ101" s="84"/>
      <c r="DA101" s="84"/>
      <c r="DB101" s="84"/>
      <c r="DC101" s="84"/>
      <c r="DD101" s="84"/>
      <c r="DE101" s="84"/>
      <c r="DF101" s="84"/>
      <c r="DG101" s="84"/>
      <c r="DH101" s="84"/>
      <c r="DI101" s="84"/>
      <c r="DJ101" s="84"/>
      <c r="DK101" s="84"/>
      <c r="DL101" s="84"/>
      <c r="DM101" s="84"/>
      <c r="DN101" s="84"/>
      <c r="DO101" s="84"/>
      <c r="DP101" s="84"/>
      <c r="DQ101" s="84"/>
      <c r="DR101" s="84"/>
      <c r="DS101" s="84"/>
      <c r="DT101" s="84"/>
      <c r="DU101" s="84"/>
      <c r="DV101" s="84"/>
      <c r="DW101" s="84"/>
      <c r="DX101" s="84"/>
      <c r="DY101" s="84"/>
      <c r="DZ101" s="84"/>
      <c r="EA101" s="84"/>
      <c r="EB101" s="84"/>
      <c r="EC101" s="84"/>
      <c r="ED101" s="84"/>
      <c r="EE101" s="84"/>
      <c r="EF101" s="84"/>
      <c r="EG101" s="84"/>
      <c r="EH101" s="84"/>
      <c r="EI101" s="84"/>
      <c r="EJ101" s="84"/>
      <c r="EK101" s="84"/>
      <c r="EL101" s="84"/>
      <c r="EM101" s="84"/>
      <c r="EN101" s="84"/>
      <c r="EO101" s="84"/>
      <c r="EP101" s="84"/>
      <c r="EQ101" s="84"/>
      <c r="ER101" s="84"/>
      <c r="ES101" s="84"/>
      <c r="ET101" s="84"/>
      <c r="EU101" s="84"/>
      <c r="EV101" s="84"/>
      <c r="EW101" s="84"/>
      <c r="EX101" s="84"/>
      <c r="EY101" s="84"/>
    </row>
    <row r="102" spans="1:155" ht="20.25" customHeight="1">
      <c r="A102" s="84"/>
      <c r="B102" s="283" t="s">
        <v>441</v>
      </c>
      <c r="C102" s="733">
        <v>0</v>
      </c>
      <c r="D102" s="733">
        <v>1992124</v>
      </c>
      <c r="E102" s="83">
        <v>0</v>
      </c>
      <c r="F102" s="385">
        <f t="shared" si="1"/>
        <v>0</v>
      </c>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4"/>
      <c r="BU102" s="84"/>
      <c r="BV102" s="84"/>
      <c r="BW102" s="84"/>
      <c r="BX102" s="84"/>
      <c r="BY102" s="84"/>
      <c r="BZ102" s="84"/>
      <c r="CA102" s="84"/>
      <c r="CB102" s="84"/>
      <c r="CC102" s="84"/>
      <c r="CD102" s="84"/>
      <c r="CE102" s="84"/>
      <c r="CF102" s="84"/>
      <c r="CG102" s="84"/>
      <c r="CH102" s="84"/>
      <c r="CI102" s="84"/>
      <c r="CJ102" s="84"/>
      <c r="CK102" s="84"/>
      <c r="CL102" s="84"/>
      <c r="CM102" s="84"/>
      <c r="CN102" s="84"/>
      <c r="CO102" s="84"/>
      <c r="CP102" s="84"/>
      <c r="CQ102" s="84"/>
      <c r="CR102" s="84"/>
      <c r="CS102" s="84"/>
      <c r="CT102" s="84"/>
      <c r="CU102" s="84"/>
      <c r="CV102" s="84"/>
      <c r="CW102" s="84"/>
      <c r="CX102" s="84"/>
      <c r="CY102" s="84"/>
      <c r="CZ102" s="84"/>
      <c r="DA102" s="84"/>
      <c r="DB102" s="84"/>
      <c r="DC102" s="84"/>
      <c r="DD102" s="84"/>
      <c r="DE102" s="84"/>
      <c r="DF102" s="84"/>
      <c r="DG102" s="84"/>
      <c r="DH102" s="84"/>
      <c r="DI102" s="84"/>
      <c r="DJ102" s="84"/>
      <c r="DK102" s="84"/>
      <c r="DL102" s="84"/>
      <c r="DM102" s="84"/>
      <c r="DN102" s="84"/>
      <c r="DO102" s="84"/>
      <c r="DP102" s="84"/>
      <c r="DQ102" s="84"/>
      <c r="DR102" s="84"/>
      <c r="DS102" s="84"/>
      <c r="DT102" s="84"/>
      <c r="DU102" s="84"/>
      <c r="DV102" s="84"/>
      <c r="DW102" s="84"/>
      <c r="DX102" s="84"/>
      <c r="DY102" s="84"/>
      <c r="DZ102" s="84"/>
      <c r="EA102" s="84"/>
      <c r="EB102" s="84"/>
      <c r="EC102" s="84"/>
      <c r="ED102" s="84"/>
      <c r="EE102" s="84"/>
      <c r="EF102" s="84"/>
      <c r="EG102" s="84"/>
      <c r="EH102" s="84"/>
      <c r="EI102" s="84"/>
      <c r="EJ102" s="84"/>
      <c r="EK102" s="84"/>
      <c r="EL102" s="84"/>
      <c r="EM102" s="84"/>
      <c r="EN102" s="84"/>
      <c r="EO102" s="84"/>
      <c r="EP102" s="84"/>
      <c r="EQ102" s="84"/>
      <c r="ER102" s="84"/>
      <c r="ES102" s="84"/>
      <c r="ET102" s="84"/>
      <c r="EU102" s="84"/>
      <c r="EV102" s="84"/>
      <c r="EW102" s="84"/>
      <c r="EX102" s="84"/>
      <c r="EY102" s="84"/>
    </row>
    <row r="103" spans="1:155" ht="17.25" customHeight="1">
      <c r="A103" s="84"/>
      <c r="B103" s="283" t="s">
        <v>442</v>
      </c>
      <c r="C103" s="733">
        <v>0</v>
      </c>
      <c r="D103" s="733">
        <v>18000</v>
      </c>
      <c r="E103" s="83">
        <v>0</v>
      </c>
      <c r="F103" s="385">
        <f t="shared" si="1"/>
        <v>0</v>
      </c>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4"/>
      <c r="CC103" s="84"/>
      <c r="CD103" s="84"/>
      <c r="CE103" s="84"/>
      <c r="CF103" s="84"/>
      <c r="CG103" s="84"/>
      <c r="CH103" s="84"/>
      <c r="CI103" s="84"/>
      <c r="CJ103" s="84"/>
      <c r="CK103" s="84"/>
      <c r="CL103" s="84"/>
      <c r="CM103" s="84"/>
      <c r="CN103" s="84"/>
      <c r="CO103" s="84"/>
      <c r="CP103" s="84"/>
      <c r="CQ103" s="84"/>
      <c r="CR103" s="84"/>
      <c r="CS103" s="84"/>
      <c r="CT103" s="84"/>
      <c r="CU103" s="84"/>
      <c r="CV103" s="84"/>
      <c r="CW103" s="84"/>
      <c r="CX103" s="84"/>
      <c r="CY103" s="84"/>
      <c r="CZ103" s="84"/>
      <c r="DA103" s="84"/>
      <c r="DB103" s="84"/>
      <c r="DC103" s="84"/>
      <c r="DD103" s="84"/>
      <c r="DE103" s="84"/>
      <c r="DF103" s="84"/>
      <c r="DG103" s="84"/>
      <c r="DH103" s="84"/>
      <c r="DI103" s="84"/>
      <c r="DJ103" s="84"/>
      <c r="DK103" s="84"/>
      <c r="DL103" s="84"/>
      <c r="DM103" s="84"/>
      <c r="DN103" s="84"/>
      <c r="DO103" s="84"/>
      <c r="DP103" s="84"/>
      <c r="DQ103" s="84"/>
      <c r="DR103" s="84"/>
      <c r="DS103" s="84"/>
      <c r="DT103" s="84"/>
      <c r="DU103" s="84"/>
      <c r="DV103" s="84"/>
      <c r="DW103" s="84"/>
      <c r="DX103" s="84"/>
      <c r="DY103" s="84"/>
      <c r="DZ103" s="84"/>
      <c r="EA103" s="84"/>
      <c r="EB103" s="84"/>
      <c r="EC103" s="84"/>
      <c r="ED103" s="84"/>
      <c r="EE103" s="84"/>
      <c r="EF103" s="84"/>
      <c r="EG103" s="84"/>
      <c r="EH103" s="84"/>
      <c r="EI103" s="84"/>
      <c r="EJ103" s="84"/>
      <c r="EK103" s="84"/>
      <c r="EL103" s="84"/>
      <c r="EM103" s="84"/>
      <c r="EN103" s="84"/>
      <c r="EO103" s="84"/>
      <c r="EP103" s="84"/>
      <c r="EQ103" s="84"/>
      <c r="ER103" s="84"/>
      <c r="ES103" s="84"/>
      <c r="ET103" s="84"/>
      <c r="EU103" s="84"/>
      <c r="EV103" s="84"/>
      <c r="EW103" s="84"/>
      <c r="EX103" s="84"/>
      <c r="EY103" s="84"/>
    </row>
    <row r="104" spans="2:17" ht="24.75" customHeight="1">
      <c r="B104" s="283" t="s">
        <v>465</v>
      </c>
      <c r="C104" s="733">
        <v>659403.4</v>
      </c>
      <c r="D104" s="733">
        <v>617436.24</v>
      </c>
      <c r="E104" s="83">
        <v>692767.13</v>
      </c>
      <c r="F104" s="385">
        <f t="shared" si="1"/>
        <v>-33363.72999999998</v>
      </c>
      <c r="M104" s="84"/>
      <c r="N104" s="84"/>
      <c r="O104" s="84"/>
      <c r="P104" s="84"/>
      <c r="Q104" s="84"/>
    </row>
    <row r="105" spans="2:17" ht="10.5" customHeight="1">
      <c r="B105" s="283" t="s">
        <v>440</v>
      </c>
      <c r="C105" s="733">
        <v>0</v>
      </c>
      <c r="D105" s="733">
        <v>769424.25</v>
      </c>
      <c r="E105" s="83">
        <v>0</v>
      </c>
      <c r="F105" s="385">
        <f t="shared" si="1"/>
        <v>0</v>
      </c>
      <c r="M105" s="84"/>
      <c r="N105" s="84"/>
      <c r="O105" s="84"/>
      <c r="P105" s="84"/>
      <c r="Q105" s="84"/>
    </row>
    <row r="106" spans="2:17" ht="31.5" customHeight="1">
      <c r="B106" s="269" t="s">
        <v>424</v>
      </c>
      <c r="C106" s="729">
        <v>17256</v>
      </c>
      <c r="D106" s="729">
        <v>780394</v>
      </c>
      <c r="E106" s="372">
        <v>16056</v>
      </c>
      <c r="F106" s="385">
        <f t="shared" si="1"/>
        <v>1200</v>
      </c>
      <c r="M106" s="84"/>
      <c r="N106" s="84"/>
      <c r="O106" s="84"/>
      <c r="P106" s="84"/>
      <c r="Q106" s="84"/>
    </row>
    <row r="107" spans="2:17" ht="19.5" customHeight="1">
      <c r="B107" s="284"/>
      <c r="C107" s="742">
        <v>1707349.5899999999</v>
      </c>
      <c r="D107" s="742">
        <v>6040802.49</v>
      </c>
      <c r="E107" s="645">
        <v>1233482.13</v>
      </c>
      <c r="F107" s="278">
        <f>SUM(F96:F106)</f>
        <v>473867.46</v>
      </c>
      <c r="M107" s="84"/>
      <c r="N107" s="84"/>
      <c r="O107" s="84"/>
      <c r="P107" s="84"/>
      <c r="Q107" s="84"/>
    </row>
  </sheetData>
  <sheetProtection/>
  <printOptions horizontalCentered="1"/>
  <pageMargins left="1.18" right="1.13" top="0.53" bottom="0" header="0.5" footer="0.275590551181102"/>
  <pageSetup fitToHeight="1" fitToWidth="1" horizontalDpi="300" verticalDpi="300" orientation="portrait" paperSize="9"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Valued Acer Customer</cp:lastModifiedBy>
  <cp:lastPrinted>2014-08-11T12:13:59Z</cp:lastPrinted>
  <dcterms:created xsi:type="dcterms:W3CDTF">2011-03-07T07:35:26Z</dcterms:created>
  <dcterms:modified xsi:type="dcterms:W3CDTF">2014-09-11T06:55:17Z</dcterms:modified>
  <cp:category/>
  <cp:version/>
  <cp:contentType/>
  <cp:contentStatus/>
</cp:coreProperties>
</file>